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oghani_r\Downloads\ماهنامه 1403\"/>
    </mc:Choice>
  </mc:AlternateContent>
  <xr:revisionPtr revIDLastSave="0" documentId="13_ncr:1_{5D4283C6-48A7-4B1F-8F8B-F955D63AFE78}" xr6:coauthVersionLast="47" xr6:coauthVersionMax="47" xr10:uidLastSave="{00000000-0000-0000-0000-000000000000}"/>
  <bookViews>
    <workbookView xWindow="5295" yWindow="1425" windowWidth="16545" windowHeight="12750" xr2:uid="{00000000-000D-0000-FFFF-FFFF00000000}"/>
  </bookViews>
  <sheets>
    <sheet name="مسافت پيموده شده لکوموتيو " sheetId="4" r:id="rId1"/>
    <sheet name="Sheet1" sheetId="3" r:id="rId2"/>
  </sheets>
  <definedNames>
    <definedName name="_xlnm.Print_Area" localSheetId="0">'مسافت پيموده شده لکوموتيو '!$A$1:$N$116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4" l="1"/>
  <c r="E112" i="4"/>
  <c r="D112" i="4"/>
  <c r="C112" i="4"/>
  <c r="F111" i="4"/>
  <c r="E111" i="4"/>
  <c r="D111" i="4"/>
  <c r="C111" i="4"/>
  <c r="F110" i="4"/>
  <c r="E110" i="4"/>
  <c r="D110" i="4"/>
  <c r="F109" i="4"/>
  <c r="E109" i="4"/>
  <c r="D109" i="4"/>
  <c r="C109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F113" i="4" s="1"/>
  <c r="E103" i="4"/>
  <c r="E113" i="4" s="1"/>
  <c r="D103" i="4"/>
  <c r="D113" i="4" s="1"/>
  <c r="C103" i="4"/>
  <c r="C113" i="4" s="1"/>
  <c r="F101" i="4"/>
  <c r="E101" i="4"/>
  <c r="D101" i="4"/>
  <c r="C101" i="4"/>
  <c r="F100" i="4"/>
  <c r="E100" i="4"/>
  <c r="D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E90" i="4"/>
  <c r="D90" i="4"/>
  <c r="C90" i="4"/>
  <c r="F89" i="4"/>
  <c r="E89" i="4"/>
  <c r="E102" i="4" s="1"/>
  <c r="D89" i="4"/>
  <c r="D102" i="4" s="1"/>
  <c r="C89" i="4"/>
  <c r="C102" i="4" s="1"/>
  <c r="F87" i="4"/>
  <c r="E87" i="4"/>
  <c r="D87" i="4"/>
  <c r="C87" i="4"/>
  <c r="F86" i="4"/>
  <c r="E86" i="4"/>
  <c r="D86" i="4"/>
  <c r="C86" i="4"/>
  <c r="F85" i="4"/>
  <c r="E85" i="4"/>
  <c r="D85" i="4"/>
  <c r="C85" i="4"/>
  <c r="F84" i="4"/>
  <c r="E84" i="4"/>
  <c r="D84" i="4"/>
  <c r="C84" i="4"/>
  <c r="F83" i="4"/>
  <c r="E83" i="4"/>
  <c r="D83" i="4"/>
  <c r="C83" i="4"/>
  <c r="F82" i="4"/>
  <c r="E82" i="4"/>
  <c r="D82" i="4"/>
  <c r="C82" i="4"/>
  <c r="F81" i="4"/>
  <c r="E81" i="4"/>
  <c r="D81" i="4"/>
  <c r="C81" i="4"/>
  <c r="F80" i="4"/>
  <c r="E80" i="4"/>
  <c r="D80" i="4"/>
  <c r="C80" i="4"/>
  <c r="F79" i="4"/>
  <c r="E79" i="4"/>
  <c r="D79" i="4"/>
  <c r="C79" i="4"/>
  <c r="F78" i="4"/>
  <c r="E78" i="4"/>
  <c r="D78" i="4"/>
  <c r="F77" i="4"/>
  <c r="F88" i="4" s="1"/>
  <c r="E77" i="4"/>
  <c r="E88" i="4" s="1"/>
  <c r="D77" i="4"/>
  <c r="D88" i="4" s="1"/>
  <c r="C77" i="4"/>
  <c r="C88" i="4" s="1"/>
  <c r="AL75" i="4"/>
  <c r="AL74" i="4"/>
  <c r="AL70" i="4"/>
  <c r="AL72" i="4" s="1"/>
  <c r="AA70" i="4"/>
  <c r="AA71" i="4" s="1"/>
  <c r="N70" i="4"/>
  <c r="M70" i="4"/>
  <c r="L70" i="4"/>
  <c r="K70" i="4"/>
  <c r="J70" i="4"/>
  <c r="I70" i="4"/>
  <c r="H70" i="4"/>
  <c r="G70" i="4"/>
  <c r="F70" i="4"/>
  <c r="E70" i="4"/>
  <c r="D70" i="4"/>
  <c r="AK66" i="4"/>
  <c r="AJ66" i="4"/>
  <c r="AI66" i="4"/>
  <c r="AH66" i="4"/>
  <c r="AG66" i="4"/>
  <c r="AF66" i="4"/>
  <c r="AE66" i="4"/>
  <c r="AD66" i="4"/>
  <c r="Z66" i="4"/>
  <c r="Z70" i="4" s="1"/>
  <c r="Y66" i="4"/>
  <c r="X66" i="4"/>
  <c r="W66" i="4"/>
  <c r="W70" i="4" s="1"/>
  <c r="V66" i="4"/>
  <c r="V70" i="4" s="1"/>
  <c r="U66" i="4"/>
  <c r="T66" i="4"/>
  <c r="S66" i="4"/>
  <c r="S70" i="4" s="1"/>
  <c r="R66" i="4"/>
  <c r="R70" i="4" s="1"/>
  <c r="Q66" i="4"/>
  <c r="P66" i="4"/>
  <c r="O66" i="4"/>
  <c r="O70" i="4" s="1"/>
  <c r="C66" i="4"/>
  <c r="C70" i="4" s="1"/>
  <c r="AK59" i="4"/>
  <c r="AF59" i="4"/>
  <c r="AE59" i="4"/>
  <c r="X59" i="4"/>
  <c r="V59" i="4"/>
  <c r="U59" i="4"/>
  <c r="AK58" i="4"/>
  <c r="AJ58" i="4"/>
  <c r="AJ70" i="4" s="1"/>
  <c r="AL71" i="4" s="1"/>
  <c r="AI58" i="4"/>
  <c r="AI70" i="4" s="1"/>
  <c r="AH58" i="4"/>
  <c r="AH70" i="4" s="1"/>
  <c r="AG58" i="4"/>
  <c r="AG70" i="4" s="1"/>
  <c r="AG71" i="4" s="1"/>
  <c r="AF58" i="4"/>
  <c r="AF70" i="4" s="1"/>
  <c r="AE58" i="4"/>
  <c r="AE70" i="4" s="1"/>
  <c r="AD58" i="4"/>
  <c r="AD70" i="4" s="1"/>
  <c r="Z58" i="4"/>
  <c r="Y58" i="4"/>
  <c r="Y70" i="4" s="1"/>
  <c r="X58" i="4"/>
  <c r="X70" i="4" s="1"/>
  <c r="W58" i="4"/>
  <c r="V58" i="4"/>
  <c r="U58" i="4"/>
  <c r="U70" i="4" s="1"/>
  <c r="T58" i="4"/>
  <c r="T70" i="4" s="1"/>
  <c r="S58" i="4"/>
  <c r="R58" i="4"/>
  <c r="Q58" i="4"/>
  <c r="Q70" i="4" s="1"/>
  <c r="P58" i="4"/>
  <c r="P70" i="4" s="1"/>
  <c r="O58" i="4"/>
  <c r="AL56" i="4"/>
  <c r="AL57" i="4" s="1"/>
  <c r="AA54" i="4"/>
  <c r="AA55" i="4" s="1"/>
  <c r="N54" i="4"/>
  <c r="M54" i="4"/>
  <c r="L54" i="4"/>
  <c r="K54" i="4"/>
  <c r="J54" i="4"/>
  <c r="I54" i="4"/>
  <c r="H54" i="4"/>
  <c r="G54" i="4"/>
  <c r="F54" i="4"/>
  <c r="E54" i="4"/>
  <c r="D54" i="4"/>
  <c r="AK53" i="4"/>
  <c r="AJ53" i="4"/>
  <c r="AG53" i="4"/>
  <c r="AD53" i="4"/>
  <c r="R53" i="4"/>
  <c r="C53" i="4"/>
  <c r="AK52" i="4"/>
  <c r="AJ52" i="4"/>
  <c r="AI52" i="4"/>
  <c r="AG52" i="4"/>
  <c r="Z52" i="4"/>
  <c r="W52" i="4"/>
  <c r="S52" i="4"/>
  <c r="C52" i="4"/>
  <c r="AJ49" i="4"/>
  <c r="AI49" i="4"/>
  <c r="AH49" i="4"/>
  <c r="AG49" i="4"/>
  <c r="AF49" i="4"/>
  <c r="Z49" i="4"/>
  <c r="Y49" i="4"/>
  <c r="C49" i="4"/>
  <c r="AK47" i="4"/>
  <c r="AJ47" i="4"/>
  <c r="AI47" i="4"/>
  <c r="AH47" i="4"/>
  <c r="AG47" i="4"/>
  <c r="AF47" i="4"/>
  <c r="AE47" i="4"/>
  <c r="AD47" i="4"/>
  <c r="Z47" i="4"/>
  <c r="Y47" i="4"/>
  <c r="X47" i="4"/>
  <c r="W47" i="4"/>
  <c r="V47" i="4"/>
  <c r="U47" i="4"/>
  <c r="T47" i="4"/>
  <c r="S47" i="4"/>
  <c r="R47" i="4"/>
  <c r="P47" i="4"/>
  <c r="O47" i="4"/>
  <c r="C47" i="4"/>
  <c r="C46" i="4"/>
  <c r="C43" i="4"/>
  <c r="C42" i="4"/>
  <c r="AG41" i="4"/>
  <c r="AF41" i="4"/>
  <c r="AD41" i="4"/>
  <c r="C41" i="4"/>
  <c r="C100" i="4" s="1"/>
  <c r="AK38" i="4"/>
  <c r="AJ38" i="4"/>
  <c r="AI38" i="4"/>
  <c r="AH38" i="4"/>
  <c r="AG38" i="4"/>
  <c r="AF38" i="4"/>
  <c r="AE38" i="4"/>
  <c r="AD38" i="4"/>
  <c r="Z38" i="4"/>
  <c r="Y38" i="4"/>
  <c r="X38" i="4"/>
  <c r="W38" i="4"/>
  <c r="V38" i="4"/>
  <c r="U38" i="4"/>
  <c r="T38" i="4"/>
  <c r="S38" i="4"/>
  <c r="R38" i="4"/>
  <c r="Q38" i="4"/>
  <c r="P38" i="4"/>
  <c r="O38" i="4"/>
  <c r="C38" i="4"/>
  <c r="AK37" i="4"/>
  <c r="AJ37" i="4"/>
  <c r="AI37" i="4"/>
  <c r="AI54" i="4" s="1"/>
  <c r="AH37" i="4"/>
  <c r="AG37" i="4"/>
  <c r="AF37" i="4"/>
  <c r="AE37" i="4"/>
  <c r="AD37" i="4"/>
  <c r="Z37" i="4"/>
  <c r="Y37" i="4"/>
  <c r="X37" i="4"/>
  <c r="W37" i="4"/>
  <c r="V37" i="4"/>
  <c r="U37" i="4"/>
  <c r="T37" i="4"/>
  <c r="S37" i="4"/>
  <c r="R37" i="4"/>
  <c r="Q37" i="4"/>
  <c r="P37" i="4"/>
  <c r="O37" i="4"/>
  <c r="C37" i="4"/>
  <c r="C36" i="4"/>
  <c r="AK35" i="4"/>
  <c r="AI35" i="4"/>
  <c r="AG35" i="4"/>
  <c r="C35" i="4"/>
  <c r="AK34" i="4"/>
  <c r="AJ34" i="4"/>
  <c r="AI34" i="4"/>
  <c r="AH34" i="4"/>
  <c r="AG34" i="4"/>
  <c r="AF34" i="4"/>
  <c r="AE34" i="4"/>
  <c r="AD34" i="4"/>
  <c r="Z34" i="4"/>
  <c r="Y34" i="4"/>
  <c r="X34" i="4"/>
  <c r="W34" i="4"/>
  <c r="V34" i="4"/>
  <c r="U34" i="4"/>
  <c r="T34" i="4"/>
  <c r="S34" i="4"/>
  <c r="R34" i="4"/>
  <c r="Q34" i="4"/>
  <c r="P34" i="4"/>
  <c r="O34" i="4"/>
  <c r="AK33" i="4"/>
  <c r="AJ33" i="4"/>
  <c r="AI33" i="4"/>
  <c r="AH33" i="4"/>
  <c r="AG33" i="4"/>
  <c r="AF33" i="4"/>
  <c r="AE33" i="4"/>
  <c r="AD33" i="4"/>
  <c r="Z33" i="4"/>
  <c r="Y33" i="4"/>
  <c r="X33" i="4"/>
  <c r="W33" i="4"/>
  <c r="V33" i="4"/>
  <c r="U33" i="4"/>
  <c r="T33" i="4"/>
  <c r="S33" i="4"/>
  <c r="R33" i="4"/>
  <c r="Q33" i="4"/>
  <c r="P33" i="4"/>
  <c r="O33" i="4"/>
  <c r="AK32" i="4"/>
  <c r="AI32" i="4"/>
  <c r="AG32" i="4"/>
  <c r="AF32" i="4"/>
  <c r="AE32" i="4"/>
  <c r="AE54" i="4" s="1"/>
  <c r="AD32" i="4"/>
  <c r="Z32" i="4"/>
  <c r="Y32" i="4"/>
  <c r="W32" i="4"/>
  <c r="V32" i="4"/>
  <c r="U32" i="4"/>
  <c r="T32" i="4"/>
  <c r="S32" i="4"/>
  <c r="R32" i="4"/>
  <c r="Q32" i="4"/>
  <c r="P32" i="4"/>
  <c r="O32" i="4"/>
  <c r="AI31" i="4"/>
  <c r="C31" i="4"/>
  <c r="AK30" i="4"/>
  <c r="AK54" i="4" s="1"/>
  <c r="AL53" i="4" s="1"/>
  <c r="AJ30" i="4"/>
  <c r="AJ54" i="4" s="1"/>
  <c r="AI30" i="4"/>
  <c r="AH30" i="4"/>
  <c r="AH54" i="4" s="1"/>
  <c r="AG30" i="4"/>
  <c r="AG54" i="4" s="1"/>
  <c r="AF30" i="4"/>
  <c r="AF54" i="4" s="1"/>
  <c r="AE30" i="4"/>
  <c r="AD30" i="4"/>
  <c r="AD54" i="4" s="1"/>
  <c r="Z30" i="4"/>
  <c r="Z54" i="4" s="1"/>
  <c r="Y30" i="4"/>
  <c r="Y54" i="4" s="1"/>
  <c r="X30" i="4"/>
  <c r="X54" i="4" s="1"/>
  <c r="W30" i="4"/>
  <c r="W54" i="4" s="1"/>
  <c r="V30" i="4"/>
  <c r="V54" i="4" s="1"/>
  <c r="U30" i="4"/>
  <c r="U54" i="4" s="1"/>
  <c r="T30" i="4"/>
  <c r="T54" i="4" s="1"/>
  <c r="S30" i="4"/>
  <c r="S54" i="4" s="1"/>
  <c r="R30" i="4"/>
  <c r="R54" i="4" s="1"/>
  <c r="Q30" i="4"/>
  <c r="Q54" i="4" s="1"/>
  <c r="P30" i="4"/>
  <c r="P54" i="4" s="1"/>
  <c r="O30" i="4"/>
  <c r="F90" i="4" s="1"/>
  <c r="C30" i="4"/>
  <c r="C54" i="4" s="1"/>
  <c r="AA28" i="4"/>
  <c r="AI27" i="4"/>
  <c r="AE27" i="4"/>
  <c r="N27" i="4"/>
  <c r="M27" i="4"/>
  <c r="L27" i="4"/>
  <c r="K27" i="4"/>
  <c r="J27" i="4"/>
  <c r="I27" i="4"/>
  <c r="H27" i="4"/>
  <c r="G27" i="4"/>
  <c r="F27" i="4"/>
  <c r="E27" i="4"/>
  <c r="D27" i="4"/>
  <c r="AK11" i="4"/>
  <c r="AJ11" i="4"/>
  <c r="AI11" i="4"/>
  <c r="AH11" i="4"/>
  <c r="AG11" i="4"/>
  <c r="AF11" i="4"/>
  <c r="AE11" i="4"/>
  <c r="AD11" i="4"/>
  <c r="Z11" i="4"/>
  <c r="Y11" i="4"/>
  <c r="X11" i="4"/>
  <c r="W11" i="4"/>
  <c r="V11" i="4"/>
  <c r="U11" i="4"/>
  <c r="T11" i="4"/>
  <c r="S11" i="4"/>
  <c r="R11" i="4"/>
  <c r="Q11" i="4"/>
  <c r="P11" i="4"/>
  <c r="O11" i="4"/>
  <c r="AK10" i="4"/>
  <c r="AJ10" i="4"/>
  <c r="AI10" i="4"/>
  <c r="AH10" i="4"/>
  <c r="AG10" i="4"/>
  <c r="AF10" i="4"/>
  <c r="AE10" i="4"/>
  <c r="AD10" i="4"/>
  <c r="Z10" i="4"/>
  <c r="Y10" i="4"/>
  <c r="X10" i="4"/>
  <c r="W10" i="4"/>
  <c r="V10" i="4"/>
  <c r="U10" i="4"/>
  <c r="T10" i="4"/>
  <c r="S10" i="4"/>
  <c r="R10" i="4"/>
  <c r="Q10" i="4"/>
  <c r="P10" i="4"/>
  <c r="O10" i="4"/>
  <c r="AK9" i="4"/>
  <c r="AK27" i="4" s="1"/>
  <c r="AL27" i="4" s="1"/>
  <c r="AJ9" i="4"/>
  <c r="AJ27" i="4" s="1"/>
  <c r="AI9" i="4"/>
  <c r="AH9" i="4"/>
  <c r="AH27" i="4" s="1"/>
  <c r="AG9" i="4"/>
  <c r="AG27" i="4" s="1"/>
  <c r="AF9" i="4"/>
  <c r="AF27" i="4" s="1"/>
  <c r="AE9" i="4"/>
  <c r="AD9" i="4"/>
  <c r="AD27" i="4" s="1"/>
  <c r="Z9" i="4"/>
  <c r="Z27" i="4" s="1"/>
  <c r="AB27" i="4" s="1"/>
  <c r="Y9" i="4"/>
  <c r="Y27" i="4" s="1"/>
  <c r="X9" i="4"/>
  <c r="X27" i="4" s="1"/>
  <c r="W9" i="4"/>
  <c r="W27" i="4" s="1"/>
  <c r="V9" i="4"/>
  <c r="V27" i="4" s="1"/>
  <c r="U9" i="4"/>
  <c r="U27" i="4" s="1"/>
  <c r="T9" i="4"/>
  <c r="T27" i="4" s="1"/>
  <c r="S9" i="4"/>
  <c r="S27" i="4" s="1"/>
  <c r="R9" i="4"/>
  <c r="R27" i="4" s="1"/>
  <c r="Q9" i="4"/>
  <c r="Q27" i="4" s="1"/>
  <c r="P9" i="4"/>
  <c r="P27" i="4" s="1"/>
  <c r="O9" i="4"/>
  <c r="O27" i="4" s="1"/>
  <c r="C8" i="4"/>
  <c r="C5" i="4"/>
  <c r="C78" i="4" s="1"/>
  <c r="C4" i="4"/>
  <c r="C27" i="4" s="1"/>
  <c r="F102" i="4" l="1"/>
  <c r="C110" i="4"/>
  <c r="O54" i="4"/>
</calcChain>
</file>

<file path=xl/sharedStrings.xml><?xml version="1.0" encoding="utf-8"?>
<sst xmlns="http://schemas.openxmlformats.org/spreadsheetml/2006/main" count="135" uniqueCount="60">
  <si>
    <t>ميانگين روزانه مسافت پيموده شده لكوموتيوها (به تفكيك نوع سرويس)درسال 1403</t>
  </si>
  <si>
    <t>نوع لكوموتيو و سرويس دهي</t>
  </si>
  <si>
    <t>ماه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</si>
  <si>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</si>
  <si>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</si>
  <si>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</si>
  <si>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</si>
  <si>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</si>
  <si>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</si>
  <si>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</si>
  <si>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</si>
  <si>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</si>
  <si>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</si>
  <si>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</si>
  <si>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</si>
  <si>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مانوري</t>
  </si>
  <si>
    <t>G-8</t>
  </si>
  <si>
    <t>G-12</t>
  </si>
  <si>
    <t>G-16</t>
  </si>
  <si>
    <t>G-22</t>
  </si>
  <si>
    <t>G-18</t>
  </si>
  <si>
    <t>GE</t>
  </si>
  <si>
    <t>GT-26CW</t>
  </si>
  <si>
    <t>GT-26CW-P</t>
  </si>
  <si>
    <t>AD-43C</t>
  </si>
  <si>
    <t>ER24PC</t>
  </si>
  <si>
    <t>HD-10</t>
  </si>
  <si>
    <t>RC-4</t>
  </si>
  <si>
    <t>چینی راه آهن کشش</t>
  </si>
  <si>
    <t>MAP24راهوار</t>
  </si>
  <si>
    <t>MAPریل پرداز24</t>
  </si>
  <si>
    <t>MAPفولاد24</t>
  </si>
  <si>
    <t>آلستوم مپنا</t>
  </si>
  <si>
    <t>مپناMAP24</t>
  </si>
  <si>
    <t xml:space="preserve"> البرزCDN10</t>
  </si>
  <si>
    <t>جمع</t>
  </si>
  <si>
    <t>باري + تردد</t>
  </si>
  <si>
    <t>گل گهر ترابر سیرجان</t>
  </si>
  <si>
    <t>چینی پرس</t>
  </si>
  <si>
    <t>چینی سیون ترابر</t>
  </si>
  <si>
    <t>MAP24فولاد</t>
  </si>
  <si>
    <t>MAP24ریل پرداز</t>
  </si>
  <si>
    <t>مسافري + محلي</t>
  </si>
  <si>
    <t>ماخذ:سيستم ثبتي روزانه ديزلها</t>
  </si>
  <si>
    <t xml:space="preserve"> </t>
  </si>
  <si>
    <t xml:space="preserve">فصل </t>
  </si>
  <si>
    <t xml:space="preserve"> بهار </t>
  </si>
  <si>
    <t xml:space="preserve"> تابستان </t>
  </si>
  <si>
    <t xml:space="preserve"> پاييز </t>
  </si>
  <si>
    <t xml:space="preserve"> زمستان</t>
  </si>
  <si>
    <t>DF8BI-1</t>
  </si>
  <si>
    <t>DF8BI-2</t>
  </si>
  <si>
    <t>DF8BI</t>
  </si>
  <si>
    <t>گهر ترابر GT26</t>
  </si>
  <si>
    <t>البرز GT26</t>
  </si>
  <si>
    <t>راهورا GT26</t>
  </si>
  <si>
    <t>الوند GT26</t>
  </si>
  <si>
    <t>آذرکیا</t>
  </si>
  <si>
    <t>الوند</t>
  </si>
  <si>
    <t>البرز  GT26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</si>
</sst>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22"/>
      <name val="B Jalal"/>
      <charset val="178"/>
    </font>
    <font>
      <sz val="22"/>
      <color theme="1"/>
      <name val="B Jalal"/>
      <charset val="178"/>
    </font>
    <font>
      <sz val="14"/>
      <color theme="1"/>
      <name val="Arial"/>
      <family val="2"/>
    </font>
    <font>
      <b/>
      <sz val="16"/>
      <name val="B Jalal"/>
      <charset val="178"/>
    </font>
    <font>
      <b/>
      <sz val="14"/>
      <name val="B Jalal"/>
      <charset val="178"/>
    </font>
    <font>
      <b/>
      <sz val="20"/>
      <name val="B Jalal"/>
      <charset val="178"/>
    </font>
    <font>
      <sz val="18"/>
      <name val="B Jalal"/>
      <charset val="178"/>
    </font>
    <font>
      <sz val="20"/>
      <color theme="1"/>
      <name val="B Jalal"/>
      <charset val="178"/>
    </font>
    <font>
      <sz val="18"/>
      <color theme="1"/>
      <name val="Arial"/>
      <family val="2"/>
    </font>
    <font>
      <sz val="20"/>
      <name val="B Jalal"/>
      <charset val="178"/>
    </font>
    <font>
      <sz val="14"/>
      <color theme="1"/>
      <name val="B Jalal"/>
      <charset val="178"/>
    </font>
    <font>
      <sz val="16"/>
      <color theme="1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3" fillId="2" borderId="0" xfId="2" applyFont="1" applyFill="1" applyAlignment="1">
      <alignment horizontal="center" vertical="center"/>
    </xf>
    <xf numFmtId="0" fontId="4" fillId="2" borderId="0" xfId="2" applyFont="1" applyFill="1"/>
    <xf numFmtId="0" fontId="5" fillId="0" borderId="0" xfId="2" applyFont="1"/>
    <xf numFmtId="1" fontId="5" fillId="0" borderId="0" xfId="2" applyNumberFormat="1" applyFont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textRotation="90"/>
    </xf>
    <xf numFmtId="0" fontId="9" fillId="0" borderId="9" xfId="2" applyFont="1" applyBorder="1" applyAlignment="1">
      <alignment horizontal="center" vertical="center"/>
    </xf>
    <xf numFmtId="1" fontId="10" fillId="0" borderId="10" xfId="2" applyNumberFormat="1" applyFont="1" applyBorder="1" applyAlignment="1">
      <alignment horizontal="center" vertical="center"/>
    </xf>
    <xf numFmtId="1" fontId="10" fillId="0" borderId="11" xfId="2" applyNumberFormat="1" applyFont="1" applyBorder="1" applyAlignment="1">
      <alignment horizontal="center" vertical="center"/>
    </xf>
    <xf numFmtId="0" fontId="11" fillId="0" borderId="0" xfId="2" applyFont="1"/>
    <xf numFmtId="0" fontId="8" fillId="2" borderId="12" xfId="2" applyFont="1" applyFill="1" applyBorder="1" applyAlignment="1">
      <alignment horizontal="center" vertical="center" textRotation="90"/>
    </xf>
    <xf numFmtId="0" fontId="9" fillId="0" borderId="13" xfId="2" applyFont="1" applyBorder="1" applyAlignment="1">
      <alignment horizontal="center" vertical="center"/>
    </xf>
    <xf numFmtId="1" fontId="10" fillId="0" borderId="14" xfId="2" applyNumberFormat="1" applyFont="1" applyBorder="1" applyAlignment="1">
      <alignment horizontal="center" vertical="center"/>
    </xf>
    <xf numFmtId="1" fontId="10" fillId="0" borderId="15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" fontId="10" fillId="2" borderId="15" xfId="2" applyNumberFormat="1" applyFont="1" applyFill="1" applyBorder="1" applyAlignment="1">
      <alignment horizontal="center" vertical="center"/>
    </xf>
    <xf numFmtId="1" fontId="10" fillId="2" borderId="14" xfId="2" applyNumberFormat="1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textRotation="90"/>
    </xf>
    <xf numFmtId="0" fontId="9" fillId="3" borderId="16" xfId="2" applyFont="1" applyFill="1" applyBorder="1" applyAlignment="1">
      <alignment horizontal="center" vertical="center"/>
    </xf>
    <xf numFmtId="1" fontId="12" fillId="4" borderId="17" xfId="2" applyNumberFormat="1" applyFont="1" applyFill="1" applyBorder="1" applyAlignment="1">
      <alignment horizontal="center" vertical="center"/>
    </xf>
    <xf numFmtId="1" fontId="12" fillId="4" borderId="18" xfId="2" applyNumberFormat="1" applyFont="1" applyFill="1" applyBorder="1" applyAlignment="1">
      <alignment horizontal="center" vertical="center"/>
    </xf>
    <xf numFmtId="1" fontId="12" fillId="4" borderId="19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8" fillId="0" borderId="3" xfId="2" applyFont="1" applyBorder="1" applyAlignment="1">
      <alignment horizontal="center" vertical="center" textRotation="90"/>
    </xf>
    <xf numFmtId="0" fontId="9" fillId="0" borderId="10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textRotation="90"/>
    </xf>
    <xf numFmtId="0" fontId="9" fillId="0" borderId="42" xfId="2" applyFont="1" applyBorder="1" applyAlignment="1">
      <alignment horizontal="center" vertical="center"/>
    </xf>
    <xf numFmtId="1" fontId="10" fillId="0" borderId="42" xfId="2" applyNumberFormat="1" applyFont="1" applyBorder="1" applyAlignment="1">
      <alignment horizontal="center" vertical="center"/>
    </xf>
    <xf numFmtId="1" fontId="10" fillId="0" borderId="26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1" fontId="12" fillId="0" borderId="21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readingOrder="2"/>
    </xf>
    <xf numFmtId="0" fontId="9" fillId="0" borderId="22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readingOrder="2"/>
    </xf>
    <xf numFmtId="0" fontId="8" fillId="0" borderId="23" xfId="2" applyFont="1" applyBorder="1" applyAlignment="1">
      <alignment horizontal="center" vertical="center" textRotation="90"/>
    </xf>
    <xf numFmtId="1" fontId="12" fillId="4" borderId="24" xfId="2" applyNumberFormat="1" applyFont="1" applyFill="1" applyBorder="1" applyAlignment="1">
      <alignment horizontal="center" vertical="center"/>
    </xf>
    <xf numFmtId="1" fontId="5" fillId="5" borderId="0" xfId="2" applyNumberFormat="1" applyFont="1" applyFill="1"/>
    <xf numFmtId="1" fontId="5" fillId="6" borderId="0" xfId="2" applyNumberFormat="1" applyFont="1" applyFill="1"/>
    <xf numFmtId="0" fontId="8" fillId="0" borderId="1" xfId="2" applyFont="1" applyBorder="1" applyAlignment="1">
      <alignment horizontal="center" vertical="center" textRotation="90"/>
    </xf>
    <xf numFmtId="1" fontId="10" fillId="0" borderId="25" xfId="2" applyNumberFormat="1" applyFont="1" applyBorder="1" applyAlignment="1">
      <alignment horizontal="center" vertical="center"/>
    </xf>
    <xf numFmtId="1" fontId="10" fillId="0" borderId="21" xfId="2" applyNumberFormat="1" applyFont="1" applyBorder="1" applyAlignment="1">
      <alignment horizontal="center" vertical="center"/>
    </xf>
    <xf numFmtId="0" fontId="5" fillId="5" borderId="0" xfId="2" applyFont="1" applyFill="1"/>
    <xf numFmtId="0" fontId="8" fillId="0" borderId="12" xfId="2" applyFont="1" applyBorder="1" applyAlignment="1">
      <alignment horizontal="center" vertical="center" textRotation="90"/>
    </xf>
    <xf numFmtId="1" fontId="10" fillId="0" borderId="27" xfId="2" applyNumberFormat="1" applyFont="1" applyBorder="1" applyAlignment="1">
      <alignment horizontal="center" vertical="center"/>
    </xf>
    <xf numFmtId="1" fontId="10" fillId="0" borderId="28" xfId="2" applyNumberFormat="1" applyFont="1" applyBorder="1" applyAlignment="1">
      <alignment horizontal="center" vertical="center"/>
    </xf>
    <xf numFmtId="1" fontId="10" fillId="2" borderId="28" xfId="2" applyNumberFormat="1" applyFont="1" applyFill="1" applyBorder="1" applyAlignment="1">
      <alignment horizontal="center" vertical="center"/>
    </xf>
    <xf numFmtId="0" fontId="11" fillId="0" borderId="29" xfId="2" applyFont="1" applyBorder="1"/>
    <xf numFmtId="1" fontId="10" fillId="2" borderId="27" xfId="2" applyNumberFormat="1" applyFont="1" applyFill="1" applyBorder="1" applyAlignment="1">
      <alignment horizontal="center" vertical="center"/>
    </xf>
    <xf numFmtId="0" fontId="7" fillId="0" borderId="13" xfId="2" applyFont="1" applyBorder="1" applyAlignment="1">
      <alignment horizontal="center" vertical="center" readingOrder="2"/>
    </xf>
    <xf numFmtId="0" fontId="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textRotation="90"/>
    </xf>
    <xf numFmtId="0" fontId="9" fillId="3" borderId="32" xfId="2" applyFont="1" applyFill="1" applyBorder="1" applyAlignment="1">
      <alignment horizontal="center" vertical="center"/>
    </xf>
    <xf numFmtId="1" fontId="12" fillId="7" borderId="24" xfId="2" applyNumberFormat="1" applyFont="1" applyFill="1" applyBorder="1" applyAlignment="1">
      <alignment horizontal="center" vertical="center"/>
    </xf>
    <xf numFmtId="1" fontId="12" fillId="7" borderId="18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3" fillId="0" borderId="0" xfId="2" applyFont="1"/>
    <xf numFmtId="0" fontId="14" fillId="0" borderId="0" xfId="2" applyFont="1"/>
    <xf numFmtId="0" fontId="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 wrapText="1"/>
    </xf>
    <xf numFmtId="0" fontId="16" fillId="2" borderId="0" xfId="2" applyFont="1" applyFill="1"/>
    <xf numFmtId="0" fontId="15" fillId="0" borderId="1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textRotation="90"/>
    </xf>
    <xf numFmtId="0" fontId="21" fillId="0" borderId="9" xfId="2" applyFont="1" applyBorder="1" applyAlignment="1">
      <alignment horizontal="center" vertical="center"/>
    </xf>
    <xf numFmtId="1" fontId="14" fillId="0" borderId="21" xfId="2" applyNumberFormat="1" applyFont="1" applyBorder="1" applyAlignment="1">
      <alignment horizontal="center" vertical="center"/>
    </xf>
    <xf numFmtId="1" fontId="14" fillId="0" borderId="26" xfId="2" applyNumberFormat="1" applyFont="1" applyBorder="1" applyAlignment="1">
      <alignment horizontal="center" vertical="center"/>
    </xf>
    <xf numFmtId="1" fontId="5" fillId="0" borderId="26" xfId="2" applyNumberFormat="1" applyFont="1" applyBorder="1" applyAlignment="1">
      <alignment horizontal="center" vertical="center"/>
    </xf>
    <xf numFmtId="1" fontId="5" fillId="0" borderId="36" xfId="2" applyNumberFormat="1" applyFont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 textRotation="90"/>
    </xf>
    <xf numFmtId="0" fontId="21" fillId="0" borderId="13" xfId="2" applyFont="1" applyBorder="1" applyAlignment="1">
      <alignment horizontal="center" vertical="center"/>
    </xf>
    <xf numFmtId="1" fontId="5" fillId="0" borderId="37" xfId="2" applyNumberFormat="1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1" fontId="5" fillId="0" borderId="39" xfId="2" applyNumberFormat="1" applyFont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 textRotation="90"/>
    </xf>
    <xf numFmtId="0" fontId="14" fillId="3" borderId="3" xfId="2" applyFont="1" applyFill="1" applyBorder="1" applyAlignment="1">
      <alignment horizontal="center" vertical="center"/>
    </xf>
    <xf numFmtId="1" fontId="14" fillId="7" borderId="40" xfId="2" applyNumberFormat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 textRotation="90"/>
    </xf>
    <xf numFmtId="0" fontId="20" fillId="0" borderId="12" xfId="2" applyFont="1" applyBorder="1" applyAlignment="1">
      <alignment horizontal="center" vertical="center" textRotation="90"/>
    </xf>
    <xf numFmtId="0" fontId="21" fillId="0" borderId="2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 textRotation="90"/>
    </xf>
    <xf numFmtId="0" fontId="14" fillId="3" borderId="17" xfId="2" applyFont="1" applyFill="1" applyBorder="1" applyAlignment="1">
      <alignment horizontal="center" vertical="center"/>
    </xf>
    <xf numFmtId="1" fontId="14" fillId="7" borderId="41" xfId="2" applyNumberFormat="1" applyFont="1" applyFill="1" applyBorder="1" applyAlignment="1">
      <alignment horizontal="center" vertical="center"/>
    </xf>
    <xf numFmtId="1" fontId="14" fillId="7" borderId="18" xfId="2" applyNumberFormat="1" applyFont="1" applyFill="1" applyBorder="1" applyAlignment="1">
      <alignment horizontal="center" vertical="center"/>
    </xf>
    <xf numFmtId="1" fontId="14" fillId="7" borderId="19" xfId="2" applyNumberFormat="1" applyFont="1" applyFill="1" applyBorder="1" applyAlignment="1">
      <alignment horizontal="center" vertical="center"/>
    </xf>
    <xf numFmtId="0" fontId="20" fillId="0" borderId="3" xfId="2" applyFont="1" applyBorder="1" applyAlignment="1">
      <alignment horizontal="center" vertical="center" textRotation="90"/>
    </xf>
    <xf numFmtId="0" fontId="20" fillId="0" borderId="20" xfId="2" applyFont="1" applyBorder="1" applyAlignment="1">
      <alignment horizontal="center" vertical="center" textRotation="90"/>
    </xf>
    <xf numFmtId="0" fontId="21" fillId="0" borderId="20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 textRotation="90"/>
    </xf>
    <xf numFmtId="0" fontId="14" fillId="7" borderId="16" xfId="2" applyFont="1" applyFill="1" applyBorder="1" applyAlignment="1">
      <alignment horizontal="center" vertical="center"/>
    </xf>
    <xf numFmtId="1" fontId="14" fillId="7" borderId="17" xfId="2" applyNumberFormat="1" applyFont="1" applyFill="1" applyBorder="1" applyAlignment="1">
      <alignment horizontal="center" vertical="center"/>
    </xf>
    <xf numFmtId="1" fontId="14" fillId="7" borderId="35" xfId="2" applyNumberFormat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right" vertical="center"/>
    </xf>
    <xf numFmtId="0" fontId="22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</cellXfs>
  <cellStyles count="3">
    <cellStyle name="Normal" xfId="0" builtinId="0"/>
    <cellStyle name="Normal 2" xfId="1" xr:uid="{D945C240-4DE3-43F5-9BA5-1B6FAE3B2A6C}"/>
    <cellStyle name="Normal 3" xfId="2" xr:uid="{F76DA3E3-C746-457A-962B-08BD798FC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C9DF-7952-46BC-A877-083CD0F5A770}">
  <sheetPr>
    <tabColor rgb="FF00B050"/>
  </sheetPr>
  <dimension ref="A1:AL115"/>
  <sheetViews>
    <sheetView rightToLeft="1" tabSelected="1" view="pageBreakPreview" topLeftCell="A61" zoomScale="80" zoomScaleSheetLayoutView="80" workbookViewId="0">
      <selection activeCell="I55" sqref="I55"/>
    </sheetView>
  </sheetViews>
  <sheetFormatPr defaultColWidth="9" defaultRowHeight="31.5" customHeight="1" x14ac:dyDescent="0.3"/>
  <cols>
    <col min="1" max="1" width="13.875" style="3" customWidth="1"/>
    <col min="2" max="2" width="25.625" style="3" customWidth="1"/>
    <col min="3" max="4" width="15.75" style="68" bestFit="1" customWidth="1"/>
    <col min="5" max="5" width="15.75" style="31" bestFit="1" customWidth="1"/>
    <col min="6" max="6" width="15.75" style="3" bestFit="1" customWidth="1"/>
    <col min="7" max="8" width="15.75" style="3" customWidth="1"/>
    <col min="9" max="10" width="15.75" style="3" bestFit="1" customWidth="1"/>
    <col min="11" max="12" width="15.75" style="3" customWidth="1"/>
    <col min="13" max="13" width="16" style="3" customWidth="1"/>
    <col min="14" max="14" width="18" style="3" customWidth="1"/>
    <col min="15" max="15" width="13.125" style="3" hidden="1" customWidth="1"/>
    <col min="16" max="25" width="12.25" style="3" hidden="1" customWidth="1"/>
    <col min="26" max="26" width="19.875" style="3" hidden="1" customWidth="1"/>
    <col min="27" max="28" width="12.25" style="3" hidden="1" customWidth="1"/>
    <col min="29" max="29" width="12.25" style="3" bestFit="1" customWidth="1"/>
    <col min="30" max="36" width="12.25" style="3" hidden="1" customWidth="1"/>
    <col min="37" max="40" width="12.25" style="3" bestFit="1" customWidth="1"/>
    <col min="41" max="16384" width="9" style="3"/>
  </cols>
  <sheetData>
    <row r="1" spans="1:37" ht="38.25" customHeight="1" thickBot="1" x14ac:dyDescen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4"/>
    </row>
    <row r="2" spans="1:37" ht="25.5" customHeight="1" x14ac:dyDescent="0.25">
      <c r="A2" s="5" t="s">
        <v>1</v>
      </c>
      <c r="B2" s="6"/>
      <c r="C2" s="7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37" ht="25.5" customHeight="1" thickBot="1" x14ac:dyDescent="0.3">
      <c r="A3" s="9"/>
      <c r="B3" s="10"/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3" t="s">
        <v>14</v>
      </c>
    </row>
    <row r="4" spans="1:37" ht="27" customHeight="1" x14ac:dyDescent="0.35">
      <c r="A4" s="14" t="s">
        <v>15</v>
      </c>
      <c r="B4" s="15" t="s">
        <v>16</v>
      </c>
      <c r="C4" s="16">
        <f xml:space="preserve"> 41069.253</f>
        <v>41069.252999999997</v>
      </c>
      <c r="D4" s="17">
        <v>56640</v>
      </c>
      <c r="E4" s="17">
        <v>59520</v>
      </c>
      <c r="F4" s="17">
        <v>66960</v>
      </c>
      <c r="G4" s="17">
        <v>63120</v>
      </c>
      <c r="H4" s="17">
        <v>55920</v>
      </c>
      <c r="I4" s="17">
        <v>49732</v>
      </c>
      <c r="J4" s="17">
        <v>55237</v>
      </c>
      <c r="K4" s="17">
        <v>52080</v>
      </c>
      <c r="L4" s="17">
        <v>49680</v>
      </c>
      <c r="M4" s="17">
        <v>51120</v>
      </c>
      <c r="N4" s="17">
        <v>52560</v>
      </c>
      <c r="O4" s="3">
        <v>53520</v>
      </c>
      <c r="P4" s="4">
        <v>54960</v>
      </c>
      <c r="Q4" s="3">
        <v>54240</v>
      </c>
      <c r="R4" s="3">
        <v>56160</v>
      </c>
      <c r="S4" s="3">
        <v>53280</v>
      </c>
      <c r="T4" s="3">
        <v>53280</v>
      </c>
      <c r="U4" s="3">
        <v>50400</v>
      </c>
      <c r="V4" s="3">
        <v>54720</v>
      </c>
      <c r="W4" s="3">
        <v>53040</v>
      </c>
      <c r="X4" s="3">
        <v>51120</v>
      </c>
      <c r="Y4" s="3">
        <v>52320</v>
      </c>
      <c r="Z4" s="18">
        <v>47040</v>
      </c>
      <c r="AD4" s="3">
        <v>49440</v>
      </c>
      <c r="AE4" s="3">
        <v>50400</v>
      </c>
      <c r="AF4" s="3">
        <v>45840</v>
      </c>
      <c r="AG4" s="3">
        <v>48720</v>
      </c>
      <c r="AH4" s="3">
        <v>49051</v>
      </c>
      <c r="AI4" s="3">
        <v>57120</v>
      </c>
      <c r="AJ4" s="3">
        <v>55440</v>
      </c>
      <c r="AK4" s="3">
        <v>56160</v>
      </c>
    </row>
    <row r="5" spans="1:37" ht="27" customHeight="1" x14ac:dyDescent="0.35">
      <c r="A5" s="19"/>
      <c r="B5" s="20" t="s">
        <v>17</v>
      </c>
      <c r="C5" s="21">
        <f xml:space="preserve"> 334176.2298</f>
        <v>334176.22979999997</v>
      </c>
      <c r="D5" s="22">
        <v>455375</v>
      </c>
      <c r="E5" s="22">
        <v>468720</v>
      </c>
      <c r="F5" s="22">
        <v>483600</v>
      </c>
      <c r="G5" s="22">
        <v>481440</v>
      </c>
      <c r="H5" s="22">
        <v>476400</v>
      </c>
      <c r="I5" s="22">
        <v>448564</v>
      </c>
      <c r="J5" s="22">
        <v>449802</v>
      </c>
      <c r="K5" s="22">
        <v>462319</v>
      </c>
      <c r="L5" s="22">
        <v>469920</v>
      </c>
      <c r="M5" s="22">
        <v>469741</v>
      </c>
      <c r="N5" s="22">
        <v>492960</v>
      </c>
      <c r="O5" s="3">
        <v>517920</v>
      </c>
      <c r="P5" s="4">
        <v>499641</v>
      </c>
      <c r="Q5" s="3">
        <v>488640</v>
      </c>
      <c r="R5" s="3">
        <v>467280</v>
      </c>
      <c r="S5" s="3">
        <v>469580</v>
      </c>
      <c r="T5" s="3">
        <v>479856</v>
      </c>
      <c r="U5" s="3">
        <v>478560</v>
      </c>
      <c r="V5" s="3">
        <v>459600</v>
      </c>
      <c r="W5" s="3">
        <v>477840</v>
      </c>
      <c r="X5" s="3">
        <v>486234</v>
      </c>
      <c r="Y5" s="3">
        <v>490808</v>
      </c>
      <c r="Z5" s="18">
        <v>469524</v>
      </c>
      <c r="AD5" s="3">
        <v>516510</v>
      </c>
      <c r="AE5" s="3">
        <v>522240</v>
      </c>
      <c r="AF5" s="3">
        <v>496012</v>
      </c>
      <c r="AG5" s="3">
        <v>517494</v>
      </c>
      <c r="AH5" s="3">
        <v>491202</v>
      </c>
      <c r="AI5" s="3">
        <v>499920</v>
      </c>
      <c r="AJ5" s="3">
        <v>479040</v>
      </c>
      <c r="AK5" s="3">
        <v>470660</v>
      </c>
    </row>
    <row r="6" spans="1:37" ht="27" customHeight="1" x14ac:dyDescent="0.35">
      <c r="A6" s="19"/>
      <c r="B6" s="20" t="s">
        <v>18</v>
      </c>
      <c r="C6" s="21">
        <v>7510</v>
      </c>
      <c r="D6" s="22">
        <v>7480</v>
      </c>
      <c r="E6" s="22">
        <v>0</v>
      </c>
      <c r="F6" s="22">
        <v>0</v>
      </c>
      <c r="G6" s="22">
        <v>0</v>
      </c>
      <c r="H6" s="22">
        <v>0</v>
      </c>
      <c r="I6" s="22">
        <v>268</v>
      </c>
      <c r="J6" s="22">
        <v>5285</v>
      </c>
      <c r="K6" s="22">
        <v>6960</v>
      </c>
      <c r="L6" s="22">
        <v>7200</v>
      </c>
      <c r="M6" s="22">
        <v>7288</v>
      </c>
      <c r="N6" s="22">
        <v>7200</v>
      </c>
      <c r="O6" s="3">
        <v>2400</v>
      </c>
      <c r="P6" s="4">
        <v>2400</v>
      </c>
      <c r="Q6" s="3">
        <v>3600</v>
      </c>
      <c r="R6" s="3">
        <v>3120</v>
      </c>
      <c r="S6" s="3">
        <v>2640</v>
      </c>
      <c r="T6" s="3">
        <v>3840</v>
      </c>
      <c r="U6" s="3">
        <v>3360</v>
      </c>
      <c r="V6" s="3">
        <v>3120</v>
      </c>
      <c r="W6" s="3">
        <v>4080</v>
      </c>
      <c r="X6" s="3">
        <v>4080</v>
      </c>
      <c r="Y6" s="3">
        <v>5040</v>
      </c>
      <c r="Z6" s="18">
        <v>4800</v>
      </c>
      <c r="AD6" s="3">
        <v>5760</v>
      </c>
      <c r="AE6" s="3">
        <v>4080</v>
      </c>
      <c r="AF6" s="3">
        <v>6480</v>
      </c>
      <c r="AG6" s="3">
        <v>6960</v>
      </c>
      <c r="AH6" s="3">
        <v>7107</v>
      </c>
      <c r="AI6" s="3">
        <v>7200</v>
      </c>
      <c r="AJ6" s="3">
        <v>6720</v>
      </c>
      <c r="AK6" s="3">
        <v>6720</v>
      </c>
    </row>
    <row r="7" spans="1:37" ht="27" customHeight="1" x14ac:dyDescent="0.35">
      <c r="A7" s="19"/>
      <c r="B7" s="20" t="s">
        <v>19</v>
      </c>
      <c r="C7" s="21">
        <v>133920</v>
      </c>
      <c r="D7" s="22">
        <v>126480</v>
      </c>
      <c r="E7" s="22">
        <v>148800</v>
      </c>
      <c r="F7" s="22">
        <v>133920</v>
      </c>
      <c r="G7" s="22">
        <v>143653</v>
      </c>
      <c r="H7" s="22">
        <v>143571</v>
      </c>
      <c r="I7" s="22">
        <v>153702</v>
      </c>
      <c r="J7" s="22">
        <v>147282</v>
      </c>
      <c r="K7" s="22">
        <v>151920</v>
      </c>
      <c r="L7" s="22">
        <v>156491</v>
      </c>
      <c r="M7" s="22">
        <v>159138</v>
      </c>
      <c r="N7" s="22">
        <v>163920</v>
      </c>
      <c r="O7" s="3">
        <v>131280</v>
      </c>
      <c r="P7" s="4">
        <v>133753</v>
      </c>
      <c r="Q7" s="3">
        <v>126960</v>
      </c>
      <c r="R7" s="3">
        <v>131746</v>
      </c>
      <c r="S7" s="3">
        <v>145289</v>
      </c>
      <c r="T7" s="3">
        <v>146145</v>
      </c>
      <c r="U7" s="3">
        <v>134880</v>
      </c>
      <c r="V7" s="3">
        <v>140940</v>
      </c>
      <c r="W7" s="3">
        <v>133200</v>
      </c>
      <c r="X7" s="3">
        <v>122400</v>
      </c>
      <c r="Y7" s="3">
        <v>123640</v>
      </c>
      <c r="Z7" s="18">
        <v>128883</v>
      </c>
      <c r="AD7" s="3">
        <v>132960</v>
      </c>
      <c r="AE7" s="3">
        <v>130155</v>
      </c>
      <c r="AF7" s="3">
        <v>138584</v>
      </c>
      <c r="AG7" s="3">
        <v>135840</v>
      </c>
      <c r="AH7" s="3">
        <v>133231</v>
      </c>
      <c r="AI7" s="3">
        <v>136320</v>
      </c>
      <c r="AJ7" s="3">
        <v>132000</v>
      </c>
      <c r="AK7" s="3">
        <v>119064</v>
      </c>
    </row>
    <row r="8" spans="1:37" ht="27" customHeight="1" x14ac:dyDescent="0.35">
      <c r="A8" s="19"/>
      <c r="B8" s="20" t="s">
        <v>20</v>
      </c>
      <c r="C8" s="21">
        <f xml:space="preserve"> 10560.62</f>
        <v>10560.62</v>
      </c>
      <c r="D8" s="22">
        <v>14880</v>
      </c>
      <c r="E8" s="22">
        <v>14892</v>
      </c>
      <c r="F8" s="22">
        <v>14880</v>
      </c>
      <c r="G8" s="22">
        <v>14880</v>
      </c>
      <c r="H8" s="22">
        <v>14880</v>
      </c>
      <c r="I8" s="22">
        <v>14400</v>
      </c>
      <c r="J8" s="22">
        <v>14400</v>
      </c>
      <c r="K8" s="22">
        <v>14400</v>
      </c>
      <c r="L8" s="22">
        <v>14400</v>
      </c>
      <c r="M8" s="22">
        <v>14160</v>
      </c>
      <c r="N8" s="22">
        <v>14400</v>
      </c>
      <c r="O8" s="3">
        <v>14880</v>
      </c>
      <c r="P8" s="4">
        <v>14880</v>
      </c>
      <c r="Q8" s="3">
        <v>14880</v>
      </c>
      <c r="R8" s="3">
        <v>14880</v>
      </c>
      <c r="S8" s="3">
        <v>14880</v>
      </c>
      <c r="T8" s="3">
        <v>14880</v>
      </c>
      <c r="U8" s="3">
        <v>14400</v>
      </c>
      <c r="V8" s="3">
        <v>14400</v>
      </c>
      <c r="W8" s="3">
        <v>14400</v>
      </c>
      <c r="X8" s="3">
        <v>14400</v>
      </c>
      <c r="Y8" s="3">
        <v>14400</v>
      </c>
      <c r="Z8" s="18">
        <v>13920</v>
      </c>
      <c r="AD8" s="3">
        <v>12960</v>
      </c>
      <c r="AE8" s="3">
        <v>15177</v>
      </c>
      <c r="AF8" s="3">
        <v>13200</v>
      </c>
      <c r="AG8" s="3">
        <v>14640</v>
      </c>
      <c r="AH8" s="3">
        <v>13920</v>
      </c>
      <c r="AI8" s="3">
        <v>14880</v>
      </c>
      <c r="AJ8" s="3">
        <v>13920</v>
      </c>
      <c r="AK8" s="3">
        <v>14400</v>
      </c>
    </row>
    <row r="9" spans="1:37" ht="27" customHeight="1" x14ac:dyDescent="0.35">
      <c r="A9" s="19"/>
      <c r="B9" s="20" t="s">
        <v>21</v>
      </c>
      <c r="C9" s="21">
        <v>66960</v>
      </c>
      <c r="D9" s="22">
        <v>67512</v>
      </c>
      <c r="E9" s="22">
        <v>66381</v>
      </c>
      <c r="F9" s="22">
        <v>66965</v>
      </c>
      <c r="G9" s="22">
        <v>67920</v>
      </c>
      <c r="H9" s="22">
        <v>71280</v>
      </c>
      <c r="I9" s="22">
        <v>75841</v>
      </c>
      <c r="J9" s="22">
        <v>78960</v>
      </c>
      <c r="K9" s="22">
        <v>76320</v>
      </c>
      <c r="L9" s="22">
        <v>81120</v>
      </c>
      <c r="M9" s="22">
        <v>72096</v>
      </c>
      <c r="N9" s="22">
        <v>72480</v>
      </c>
      <c r="O9" s="3">
        <f>24000+37920</f>
        <v>61920</v>
      </c>
      <c r="P9" s="4">
        <f>33360+30480</f>
        <v>63840</v>
      </c>
      <c r="Q9" s="3">
        <f>16560+42240</f>
        <v>58800</v>
      </c>
      <c r="R9" s="3">
        <f>29760+23782</f>
        <v>53542</v>
      </c>
      <c r="S9" s="3">
        <f>30000+25200</f>
        <v>55200</v>
      </c>
      <c r="T9" s="3">
        <f>36000+28560</f>
        <v>64560</v>
      </c>
      <c r="U9" s="3">
        <f>34080+34080</f>
        <v>68160</v>
      </c>
      <c r="V9" s="3">
        <f>27360+43440</f>
        <v>70800</v>
      </c>
      <c r="W9" s="3">
        <f>25920+36000</f>
        <v>61920</v>
      </c>
      <c r="X9" s="3">
        <f>43920+22080</f>
        <v>66000</v>
      </c>
      <c r="Y9" s="3">
        <f>45120+17794</f>
        <v>62914</v>
      </c>
      <c r="Z9" s="18">
        <f>47040+16080</f>
        <v>63120</v>
      </c>
      <c r="AD9" s="3">
        <f>48240+17520</f>
        <v>65760</v>
      </c>
      <c r="AE9" s="3">
        <f>48960+21600</f>
        <v>70560</v>
      </c>
      <c r="AF9" s="3">
        <f>32640+34800</f>
        <v>67440</v>
      </c>
      <c r="AG9" s="3">
        <f>32640+37200</f>
        <v>69840</v>
      </c>
      <c r="AH9" s="3">
        <f>42506+26880</f>
        <v>69386</v>
      </c>
      <c r="AI9" s="3">
        <f>36720+30240</f>
        <v>66960</v>
      </c>
      <c r="AJ9" s="3">
        <f>39360+22080</f>
        <v>61440</v>
      </c>
      <c r="AK9" s="3">
        <f>44880+21120</f>
        <v>66000</v>
      </c>
    </row>
    <row r="10" spans="1:37" ht="27" customHeight="1" x14ac:dyDescent="0.35">
      <c r="A10" s="19"/>
      <c r="B10" s="20" t="s">
        <v>22</v>
      </c>
      <c r="C10" s="21">
        <v>44781</v>
      </c>
      <c r="D10" s="22">
        <v>45325</v>
      </c>
      <c r="E10" s="22">
        <v>38485</v>
      </c>
      <c r="F10" s="22">
        <v>44640</v>
      </c>
      <c r="G10" s="22">
        <v>29280</v>
      </c>
      <c r="H10" s="22">
        <v>34320</v>
      </c>
      <c r="I10" s="22">
        <v>27643</v>
      </c>
      <c r="J10" s="22">
        <v>25920</v>
      </c>
      <c r="K10" s="22">
        <v>31920</v>
      </c>
      <c r="L10" s="22">
        <v>34320</v>
      </c>
      <c r="M10" s="22">
        <v>32160</v>
      </c>
      <c r="N10" s="22">
        <v>30720</v>
      </c>
      <c r="O10" s="3">
        <f>32400+15877</f>
        <v>48277</v>
      </c>
      <c r="P10" s="4">
        <f>39951+14039</f>
        <v>53990</v>
      </c>
      <c r="Q10" s="3">
        <f>31440+25920</f>
        <v>57360</v>
      </c>
      <c r="R10" s="3">
        <f>32640+11040</f>
        <v>43680</v>
      </c>
      <c r="S10" s="3">
        <f>32160+11520</f>
        <v>43680</v>
      </c>
      <c r="T10" s="3">
        <f>32400+13200</f>
        <v>45600</v>
      </c>
      <c r="U10" s="3">
        <f>34800+11040</f>
        <v>45840</v>
      </c>
      <c r="V10" s="3">
        <f>43440+13200</f>
        <v>56640</v>
      </c>
      <c r="W10" s="3">
        <f>32400+15120</f>
        <v>47520</v>
      </c>
      <c r="X10" s="3">
        <f>40800+8880</f>
        <v>49680</v>
      </c>
      <c r="Y10" s="3">
        <f>37200+19200</f>
        <v>56400</v>
      </c>
      <c r="Z10" s="18">
        <f>38160+15360</f>
        <v>53520</v>
      </c>
      <c r="AD10" s="3">
        <f>37680+18240</f>
        <v>55920</v>
      </c>
      <c r="AE10" s="3">
        <f>38789+13920</f>
        <v>52709</v>
      </c>
      <c r="AF10" s="3">
        <f>37200+16080</f>
        <v>53280</v>
      </c>
      <c r="AG10" s="3">
        <f>29040+13680</f>
        <v>42720</v>
      </c>
      <c r="AH10" s="3">
        <f>30209+12433</f>
        <v>42642</v>
      </c>
      <c r="AI10" s="3">
        <f>36000+14640</f>
        <v>50640</v>
      </c>
      <c r="AJ10" s="3">
        <f>24960+19200</f>
        <v>44160</v>
      </c>
      <c r="AK10" s="3">
        <f>35520+21840</f>
        <v>57360</v>
      </c>
    </row>
    <row r="11" spans="1:37" ht="27" customHeight="1" x14ac:dyDescent="0.35">
      <c r="A11" s="19"/>
      <c r="B11" s="20" t="s">
        <v>23</v>
      </c>
      <c r="C11" s="21">
        <v>0</v>
      </c>
      <c r="D11" s="22">
        <v>0</v>
      </c>
      <c r="E11" s="22">
        <v>0</v>
      </c>
      <c r="F11" s="22">
        <v>0</v>
      </c>
      <c r="G11" s="22">
        <v>15360</v>
      </c>
      <c r="H11" s="22">
        <v>8640</v>
      </c>
      <c r="I11" s="22">
        <v>14640</v>
      </c>
      <c r="J11" s="22">
        <v>20640</v>
      </c>
      <c r="K11" s="22">
        <v>19440</v>
      </c>
      <c r="L11" s="22">
        <v>20160</v>
      </c>
      <c r="M11" s="22">
        <v>16468</v>
      </c>
      <c r="N11" s="22">
        <v>28080</v>
      </c>
      <c r="O11" s="3">
        <f>1200+240</f>
        <v>1440</v>
      </c>
      <c r="P11" s="4">
        <f>240+240</f>
        <v>480</v>
      </c>
      <c r="Q11" s="3">
        <f>240+480+240</f>
        <v>960</v>
      </c>
      <c r="R11" s="3">
        <f>1680+240</f>
        <v>1920</v>
      </c>
      <c r="S11" s="3">
        <f>480+240</f>
        <v>720</v>
      </c>
      <c r="T11" s="3">
        <f>720+480</f>
        <v>1200</v>
      </c>
      <c r="U11" s="3">
        <f>720+720+720</f>
        <v>2160</v>
      </c>
      <c r="V11" s="3">
        <f>720+720</f>
        <v>1440</v>
      </c>
      <c r="W11" s="3">
        <f>480+240</f>
        <v>720</v>
      </c>
      <c r="X11" s="3">
        <f>720+480</f>
        <v>1200</v>
      </c>
      <c r="Y11" s="3">
        <f>240+720+240</f>
        <v>1200</v>
      </c>
      <c r="Z11" s="18">
        <f>240+240+240</f>
        <v>720</v>
      </c>
      <c r="AD11" s="3">
        <f>240+240</f>
        <v>480</v>
      </c>
      <c r="AE11" s="3">
        <f>240+240</f>
        <v>480</v>
      </c>
      <c r="AF11" s="3">
        <f>960+480+480</f>
        <v>1920</v>
      </c>
      <c r="AG11" s="3">
        <f>480+480+480</f>
        <v>1440</v>
      </c>
      <c r="AH11" s="3">
        <f>240+480+1200</f>
        <v>1920</v>
      </c>
      <c r="AI11" s="3">
        <f>240+240+720</f>
        <v>1200</v>
      </c>
      <c r="AJ11" s="3">
        <f>480+5760</f>
        <v>6240</v>
      </c>
      <c r="AK11" s="3">
        <f>480+480+480+240</f>
        <v>1680</v>
      </c>
    </row>
    <row r="12" spans="1:37" ht="27" customHeight="1" x14ac:dyDescent="0.35">
      <c r="A12" s="19"/>
      <c r="B12" s="20" t="s">
        <v>24</v>
      </c>
      <c r="C12" s="21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3">
        <v>0</v>
      </c>
      <c r="P12" s="4">
        <v>240</v>
      </c>
      <c r="Q12" s="3">
        <v>0</v>
      </c>
      <c r="R12" s="3">
        <v>240</v>
      </c>
      <c r="S12" s="3">
        <v>0</v>
      </c>
      <c r="T12" s="3">
        <v>240</v>
      </c>
      <c r="U12" s="3">
        <v>480</v>
      </c>
      <c r="V12" s="3">
        <v>0</v>
      </c>
      <c r="W12" s="3">
        <v>0</v>
      </c>
      <c r="X12" s="3">
        <v>0</v>
      </c>
      <c r="Y12" s="3">
        <v>0</v>
      </c>
      <c r="Z12" s="18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</row>
    <row r="13" spans="1:37" ht="27" customHeight="1" x14ac:dyDescent="0.35">
      <c r="A13" s="19"/>
      <c r="B13" s="20" t="s">
        <v>25</v>
      </c>
      <c r="C13" s="21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3">
        <v>0</v>
      </c>
      <c r="P13" s="4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8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</row>
    <row r="14" spans="1:37" ht="27" customHeight="1" x14ac:dyDescent="0.35">
      <c r="A14" s="19"/>
      <c r="B14" s="20" t="s">
        <v>26</v>
      </c>
      <c r="C14" s="21">
        <v>128640</v>
      </c>
      <c r="D14" s="22">
        <v>125040</v>
      </c>
      <c r="E14" s="22">
        <v>126720</v>
      </c>
      <c r="F14" s="22">
        <v>119040</v>
      </c>
      <c r="G14" s="22">
        <v>118560</v>
      </c>
      <c r="H14" s="22">
        <v>118320</v>
      </c>
      <c r="I14" s="22">
        <v>109484</v>
      </c>
      <c r="J14" s="22">
        <v>113087</v>
      </c>
      <c r="K14" s="22">
        <v>116400</v>
      </c>
      <c r="L14" s="22">
        <v>111840</v>
      </c>
      <c r="M14" s="22">
        <v>112080</v>
      </c>
      <c r="N14" s="22">
        <v>122640</v>
      </c>
      <c r="O14" s="3">
        <v>136560</v>
      </c>
      <c r="P14" s="4">
        <v>137040</v>
      </c>
      <c r="Q14" s="3">
        <v>135360</v>
      </c>
      <c r="R14" s="3">
        <v>127920</v>
      </c>
      <c r="S14" s="3">
        <v>131040</v>
      </c>
      <c r="T14" s="3">
        <v>133680</v>
      </c>
      <c r="U14" s="3">
        <v>126000</v>
      </c>
      <c r="V14" s="3">
        <v>128640</v>
      </c>
      <c r="W14" s="3">
        <v>123360</v>
      </c>
      <c r="X14" s="3">
        <v>129360</v>
      </c>
      <c r="Y14" s="3">
        <v>127440</v>
      </c>
      <c r="Z14" s="18">
        <v>124320</v>
      </c>
      <c r="AD14" s="3">
        <v>134640</v>
      </c>
      <c r="AE14" s="3">
        <v>134880</v>
      </c>
      <c r="AF14" s="3">
        <v>131040</v>
      </c>
      <c r="AG14" s="3">
        <v>131280</v>
      </c>
      <c r="AH14" s="3">
        <v>126795</v>
      </c>
      <c r="AI14" s="3">
        <v>132960</v>
      </c>
      <c r="AJ14" s="3">
        <v>132240</v>
      </c>
      <c r="AK14" s="3">
        <v>135120</v>
      </c>
    </row>
    <row r="15" spans="1:37" ht="27" customHeight="1" x14ac:dyDescent="0.35">
      <c r="A15" s="19"/>
      <c r="B15" s="20" t="s">
        <v>27</v>
      </c>
      <c r="C15" s="21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3">
        <v>0</v>
      </c>
      <c r="P15" s="4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18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</row>
    <row r="16" spans="1:37" ht="27" customHeight="1" x14ac:dyDescent="0.35">
      <c r="A16" s="19"/>
      <c r="B16" s="23" t="s">
        <v>28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4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4">
        <v>0</v>
      </c>
      <c r="P16" s="4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18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</row>
    <row r="17" spans="1:38" ht="27" customHeight="1" x14ac:dyDescent="0.35">
      <c r="A17" s="19"/>
      <c r="B17" s="23" t="s">
        <v>53</v>
      </c>
      <c r="C17" s="21">
        <v>240</v>
      </c>
      <c r="D17" s="22">
        <v>0</v>
      </c>
      <c r="E17" s="22">
        <v>0</v>
      </c>
      <c r="F17" s="22">
        <v>0</v>
      </c>
      <c r="G17" s="24">
        <v>1200</v>
      </c>
      <c r="H17" s="24">
        <v>240</v>
      </c>
      <c r="I17" s="24">
        <v>0</v>
      </c>
      <c r="J17" s="24">
        <v>960</v>
      </c>
      <c r="K17" s="24">
        <v>0</v>
      </c>
      <c r="L17" s="22">
        <v>0</v>
      </c>
      <c r="M17" s="22">
        <v>240</v>
      </c>
      <c r="N17" s="22">
        <v>0</v>
      </c>
      <c r="O17" s="4"/>
      <c r="P17" s="4"/>
      <c r="Z17" s="18"/>
    </row>
    <row r="18" spans="1:38" ht="27" customHeight="1" x14ac:dyDescent="0.35">
      <c r="A18" s="19"/>
      <c r="B18" s="23" t="s">
        <v>54</v>
      </c>
      <c r="C18" s="25">
        <v>0</v>
      </c>
      <c r="D18" s="24">
        <v>240</v>
      </c>
      <c r="E18" s="24">
        <v>0</v>
      </c>
      <c r="F18" s="24">
        <v>720</v>
      </c>
      <c r="G18" s="24">
        <v>0</v>
      </c>
      <c r="H18" s="24">
        <v>240</v>
      </c>
      <c r="I18" s="24">
        <v>0</v>
      </c>
      <c r="J18" s="24">
        <v>240</v>
      </c>
      <c r="K18" s="24">
        <v>720</v>
      </c>
      <c r="L18" s="22">
        <v>960</v>
      </c>
      <c r="M18" s="22">
        <v>480</v>
      </c>
      <c r="N18" s="22">
        <v>480</v>
      </c>
      <c r="O18" s="4"/>
      <c r="P18" s="4"/>
      <c r="Z18" s="18"/>
    </row>
    <row r="19" spans="1:38" ht="27" customHeight="1" x14ac:dyDescent="0.35">
      <c r="A19" s="19"/>
      <c r="B19" s="23" t="s">
        <v>55</v>
      </c>
      <c r="C19" s="25">
        <v>0</v>
      </c>
      <c r="D19" s="24">
        <v>0</v>
      </c>
      <c r="E19" s="24">
        <v>480</v>
      </c>
      <c r="F19" s="24">
        <v>0</v>
      </c>
      <c r="G19" s="24">
        <v>0</v>
      </c>
      <c r="H19" s="24">
        <v>240</v>
      </c>
      <c r="I19" s="24">
        <v>240</v>
      </c>
      <c r="J19" s="24">
        <v>0</v>
      </c>
      <c r="K19" s="24">
        <v>240</v>
      </c>
      <c r="L19" s="22">
        <v>0</v>
      </c>
      <c r="M19" s="22">
        <v>0</v>
      </c>
      <c r="N19" s="22">
        <v>240</v>
      </c>
      <c r="O19" s="4"/>
      <c r="P19" s="4"/>
      <c r="Z19" s="18"/>
    </row>
    <row r="20" spans="1:38" ht="27" customHeight="1" x14ac:dyDescent="0.35">
      <c r="A20" s="19"/>
      <c r="B20" s="23" t="s">
        <v>56</v>
      </c>
      <c r="C20" s="25">
        <v>0</v>
      </c>
      <c r="D20" s="24">
        <v>0</v>
      </c>
      <c r="E20" s="24">
        <v>0</v>
      </c>
      <c r="F20" s="24">
        <v>0</v>
      </c>
      <c r="G20" s="24">
        <v>0</v>
      </c>
      <c r="H20" s="24">
        <v>240</v>
      </c>
      <c r="I20" s="24">
        <v>240</v>
      </c>
      <c r="J20" s="24">
        <v>240</v>
      </c>
      <c r="K20" s="24">
        <v>240</v>
      </c>
      <c r="L20" s="22">
        <v>0</v>
      </c>
      <c r="M20" s="22">
        <v>0</v>
      </c>
      <c r="N20" s="22">
        <v>0</v>
      </c>
      <c r="O20" s="4"/>
      <c r="P20" s="4"/>
      <c r="Z20" s="18"/>
    </row>
    <row r="21" spans="1:38" ht="27" customHeight="1" x14ac:dyDescent="0.35">
      <c r="A21" s="19"/>
      <c r="B21" s="20" t="s">
        <v>29</v>
      </c>
      <c r="C21" s="21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4">
        <v>0</v>
      </c>
      <c r="J21" s="22">
        <v>0</v>
      </c>
      <c r="K21" s="22">
        <v>240</v>
      </c>
      <c r="L21" s="22">
        <v>0</v>
      </c>
      <c r="M21" s="22">
        <v>0</v>
      </c>
      <c r="N21" s="22">
        <v>240</v>
      </c>
      <c r="O21" s="4">
        <v>0</v>
      </c>
      <c r="P21" s="4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240</v>
      </c>
      <c r="Z21" s="18">
        <v>0</v>
      </c>
      <c r="AD21" s="3">
        <v>0</v>
      </c>
      <c r="AE21" s="3">
        <v>0</v>
      </c>
      <c r="AF21" s="3">
        <v>240</v>
      </c>
      <c r="AG21" s="3">
        <v>0</v>
      </c>
      <c r="AH21" s="3">
        <v>0</v>
      </c>
      <c r="AI21" s="3">
        <v>240</v>
      </c>
      <c r="AJ21" s="3">
        <v>0</v>
      </c>
      <c r="AK21" s="3">
        <v>0</v>
      </c>
    </row>
    <row r="22" spans="1:38" ht="27" customHeight="1" x14ac:dyDescent="0.35">
      <c r="A22" s="19"/>
      <c r="B22" s="20" t="s">
        <v>30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240</v>
      </c>
      <c r="K22" s="22">
        <v>0</v>
      </c>
      <c r="L22" s="22">
        <v>0</v>
      </c>
      <c r="M22" s="22">
        <v>0</v>
      </c>
      <c r="N22" s="24">
        <v>0</v>
      </c>
      <c r="O22" s="4"/>
      <c r="P22" s="4"/>
      <c r="Z22" s="18">
        <v>240</v>
      </c>
      <c r="AD22" s="3">
        <v>0</v>
      </c>
      <c r="AE22" s="3">
        <v>240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</row>
    <row r="23" spans="1:38" ht="27" customHeight="1" x14ac:dyDescent="0.35">
      <c r="A23" s="19"/>
      <c r="B23" s="20" t="s">
        <v>31</v>
      </c>
      <c r="C23" s="21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240</v>
      </c>
      <c r="L23" s="22">
        <v>0</v>
      </c>
      <c r="M23" s="22">
        <v>0</v>
      </c>
      <c r="N23" s="24">
        <v>240</v>
      </c>
      <c r="O23" s="4"/>
      <c r="P23" s="4"/>
      <c r="Z23" s="18">
        <v>480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240</v>
      </c>
      <c r="AK23" s="3">
        <v>0</v>
      </c>
    </row>
    <row r="24" spans="1:38" ht="27" customHeight="1" x14ac:dyDescent="0.35">
      <c r="A24" s="19"/>
      <c r="B24" s="20" t="s">
        <v>32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4">
        <v>0</v>
      </c>
      <c r="P24" s="4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8">
        <v>0</v>
      </c>
      <c r="AD24" s="3">
        <v>240</v>
      </c>
      <c r="AE24" s="3">
        <v>0</v>
      </c>
      <c r="AF24" s="3">
        <v>240</v>
      </c>
      <c r="AG24" s="3">
        <v>0</v>
      </c>
      <c r="AH24" s="3">
        <v>240</v>
      </c>
      <c r="AI24" s="3">
        <v>0</v>
      </c>
      <c r="AJ24" s="3">
        <v>0</v>
      </c>
      <c r="AK24" s="3">
        <v>240</v>
      </c>
    </row>
    <row r="25" spans="1:38" ht="27" customHeight="1" x14ac:dyDescent="0.35">
      <c r="A25" s="19"/>
      <c r="B25" s="20" t="s">
        <v>33</v>
      </c>
      <c r="C25" s="21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240</v>
      </c>
      <c r="K25" s="22">
        <v>240</v>
      </c>
      <c r="L25" s="22">
        <v>0</v>
      </c>
      <c r="M25" s="22">
        <v>0</v>
      </c>
      <c r="N25" s="22">
        <v>0</v>
      </c>
      <c r="O25" s="4">
        <v>0</v>
      </c>
      <c r="P25" s="4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18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</row>
    <row r="26" spans="1:38" ht="27" customHeight="1" thickBot="1" x14ac:dyDescent="0.4">
      <c r="A26" s="19"/>
      <c r="B26" s="23" t="s">
        <v>34</v>
      </c>
      <c r="C26" s="21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4">
        <v>0</v>
      </c>
      <c r="P26" s="4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18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</row>
    <row r="27" spans="1:38" s="31" customFormat="1" ht="27" customHeight="1" thickBot="1" x14ac:dyDescent="0.4">
      <c r="A27" s="26"/>
      <c r="B27" s="27" t="s">
        <v>35</v>
      </c>
      <c r="C27" s="28">
        <f t="shared" ref="C27:Z27" si="0">SUM(C4:C26)</f>
        <v>767857.10279999999</v>
      </c>
      <c r="D27" s="29">
        <f t="shared" si="0"/>
        <v>898972</v>
      </c>
      <c r="E27" s="29">
        <f t="shared" si="0"/>
        <v>923998</v>
      </c>
      <c r="F27" s="29">
        <f t="shared" si="0"/>
        <v>930725</v>
      </c>
      <c r="G27" s="29">
        <f t="shared" si="0"/>
        <v>935413</v>
      </c>
      <c r="H27" s="29">
        <f t="shared" si="0"/>
        <v>924291</v>
      </c>
      <c r="I27" s="29">
        <f t="shared" si="0"/>
        <v>894754</v>
      </c>
      <c r="J27" s="29">
        <f t="shared" si="0"/>
        <v>912533</v>
      </c>
      <c r="K27" s="29">
        <f t="shared" si="0"/>
        <v>933679</v>
      </c>
      <c r="L27" s="29">
        <f t="shared" si="0"/>
        <v>946091</v>
      </c>
      <c r="M27" s="29">
        <f t="shared" si="0"/>
        <v>934971</v>
      </c>
      <c r="N27" s="30">
        <f t="shared" si="0"/>
        <v>986160</v>
      </c>
      <c r="O27" s="31">
        <f t="shared" si="0"/>
        <v>968197</v>
      </c>
      <c r="P27" s="31">
        <f t="shared" si="0"/>
        <v>961224</v>
      </c>
      <c r="Q27" s="31">
        <f t="shared" si="0"/>
        <v>940800</v>
      </c>
      <c r="R27" s="32">
        <f t="shared" si="0"/>
        <v>900488</v>
      </c>
      <c r="S27" s="32">
        <f t="shared" si="0"/>
        <v>916309</v>
      </c>
      <c r="T27" s="32">
        <f t="shared" si="0"/>
        <v>943281</v>
      </c>
      <c r="U27" s="32">
        <f t="shared" si="0"/>
        <v>924240</v>
      </c>
      <c r="V27" s="32">
        <f t="shared" si="0"/>
        <v>930300</v>
      </c>
      <c r="W27" s="32">
        <f t="shared" si="0"/>
        <v>916080</v>
      </c>
      <c r="X27" s="32">
        <f t="shared" si="0"/>
        <v>924474</v>
      </c>
      <c r="Y27" s="32">
        <f t="shared" si="0"/>
        <v>934402</v>
      </c>
      <c r="Z27" s="33">
        <f t="shared" si="0"/>
        <v>906567</v>
      </c>
      <c r="AA27" s="31">
        <v>906567</v>
      </c>
      <c r="AB27" s="31">
        <f>+AA27-Z27</f>
        <v>0</v>
      </c>
      <c r="AD27" s="31">
        <f t="shared" ref="AD27:AK27" si="1">SUM(AD4:AD26)</f>
        <v>974670</v>
      </c>
      <c r="AE27" s="31">
        <f t="shared" si="1"/>
        <v>980921</v>
      </c>
      <c r="AF27" s="31">
        <f t="shared" si="1"/>
        <v>954276</v>
      </c>
      <c r="AG27" s="31">
        <f t="shared" si="1"/>
        <v>968934</v>
      </c>
      <c r="AH27" s="31">
        <f t="shared" si="1"/>
        <v>935494</v>
      </c>
      <c r="AI27" s="31">
        <f t="shared" si="1"/>
        <v>967440</v>
      </c>
      <c r="AJ27" s="31">
        <f t="shared" si="1"/>
        <v>931440</v>
      </c>
      <c r="AK27" s="31">
        <f t="shared" si="1"/>
        <v>927404</v>
      </c>
      <c r="AL27" s="31">
        <f>+AK27/30</f>
        <v>30913.466666666667</v>
      </c>
    </row>
    <row r="28" spans="1:38" ht="27" customHeight="1" x14ac:dyDescent="0.35">
      <c r="A28" s="34" t="s">
        <v>36</v>
      </c>
      <c r="B28" s="35" t="s">
        <v>20</v>
      </c>
      <c r="C28" s="16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4">
        <v>0</v>
      </c>
      <c r="X28" s="3">
        <v>3</v>
      </c>
      <c r="Y28" s="3">
        <v>0</v>
      </c>
      <c r="Z28" s="18">
        <v>0</v>
      </c>
      <c r="AA28" s="3">
        <f>+AA27/29</f>
        <v>31260.931034482757</v>
      </c>
      <c r="AD28" s="3">
        <v>98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</row>
    <row r="29" spans="1:38" ht="27" customHeight="1" x14ac:dyDescent="0.35">
      <c r="A29" s="36"/>
      <c r="B29" s="37" t="s">
        <v>16</v>
      </c>
      <c r="C29" s="38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46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W29" s="4"/>
      <c r="Z29" s="18"/>
    </row>
    <row r="30" spans="1:38" ht="27" customHeight="1" x14ac:dyDescent="0.35">
      <c r="A30" s="36"/>
      <c r="B30" s="40" t="s">
        <v>17</v>
      </c>
      <c r="C30" s="21">
        <f xml:space="preserve"> 48279.85</f>
        <v>48279.85</v>
      </c>
      <c r="D30" s="22">
        <v>50024</v>
      </c>
      <c r="E30" s="22">
        <v>47740</v>
      </c>
      <c r="F30" s="22">
        <v>62584</v>
      </c>
      <c r="G30" s="22">
        <v>40529</v>
      </c>
      <c r="H30" s="22">
        <v>45214</v>
      </c>
      <c r="I30" s="22">
        <v>51152</v>
      </c>
      <c r="J30" s="22">
        <v>43028</v>
      </c>
      <c r="K30" s="22">
        <v>46933</v>
      </c>
      <c r="L30" s="22">
        <v>45376</v>
      </c>
      <c r="M30" s="22">
        <v>42149</v>
      </c>
      <c r="N30" s="22">
        <v>38220</v>
      </c>
      <c r="O30" s="41">
        <f>35137+4107</f>
        <v>39244</v>
      </c>
      <c r="P30" s="4">
        <f>31047+5031</f>
        <v>36078</v>
      </c>
      <c r="Q30" s="3">
        <f>34759+5279</f>
        <v>40038</v>
      </c>
      <c r="R30" s="3">
        <f>43777+2300</f>
        <v>46077</v>
      </c>
      <c r="S30" s="3">
        <f>33645+4091</f>
        <v>37736</v>
      </c>
      <c r="T30" s="3">
        <f>29559+4258</f>
        <v>33817</v>
      </c>
      <c r="U30" s="3">
        <f>34594+3110</f>
        <v>37704</v>
      </c>
      <c r="V30" s="3">
        <f>34233+4086</f>
        <v>38319</v>
      </c>
      <c r="W30" s="3">
        <f>21385+5058</f>
        <v>26443</v>
      </c>
      <c r="X30" s="3">
        <f>31869+5306</f>
        <v>37175</v>
      </c>
      <c r="Y30" s="3">
        <f>25629+4986</f>
        <v>30615</v>
      </c>
      <c r="Z30" s="18">
        <f>24266+5077</f>
        <v>29343</v>
      </c>
      <c r="AD30" s="3">
        <f>35030+4797</f>
        <v>39827</v>
      </c>
      <c r="AE30" s="3">
        <f>25425+5791</f>
        <v>31216</v>
      </c>
      <c r="AF30" s="3">
        <f>30859+4961</f>
        <v>35820</v>
      </c>
      <c r="AG30" s="3">
        <f>33051+3014</f>
        <v>36065</v>
      </c>
      <c r="AH30" s="3">
        <f>25567+4819</f>
        <v>30386</v>
      </c>
      <c r="AI30" s="3">
        <f>18967+2618</f>
        <v>21585</v>
      </c>
      <c r="AJ30" s="3">
        <f>32932+2843</f>
        <v>35775</v>
      </c>
      <c r="AK30" s="3">
        <f>39833+5197</f>
        <v>45030</v>
      </c>
    </row>
    <row r="31" spans="1:38" ht="27" customHeight="1" x14ac:dyDescent="0.35">
      <c r="A31" s="36"/>
      <c r="B31" s="40" t="s">
        <v>18</v>
      </c>
      <c r="C31" s="21">
        <f xml:space="preserve"> 5280.31</f>
        <v>5280.31</v>
      </c>
      <c r="D31" s="22">
        <v>7440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">
        <v>4028</v>
      </c>
      <c r="P31" s="3">
        <v>3608</v>
      </c>
      <c r="Q31" s="3">
        <v>2656</v>
      </c>
      <c r="R31" s="3">
        <v>2768</v>
      </c>
      <c r="S31" s="3">
        <v>3158</v>
      </c>
      <c r="T31" s="3">
        <v>3358</v>
      </c>
      <c r="U31" s="3">
        <v>3865</v>
      </c>
      <c r="V31" s="3">
        <v>3806</v>
      </c>
      <c r="W31" s="3">
        <v>3158</v>
      </c>
      <c r="X31" s="3">
        <v>2894</v>
      </c>
      <c r="Y31" s="3">
        <v>1916</v>
      </c>
      <c r="Z31" s="18">
        <v>1923</v>
      </c>
      <c r="AD31" s="3">
        <v>1507</v>
      </c>
      <c r="AE31" s="3">
        <v>1901</v>
      </c>
      <c r="AF31" s="3">
        <v>758</v>
      </c>
      <c r="AG31" s="3">
        <v>247</v>
      </c>
      <c r="AH31" s="3">
        <v>0</v>
      </c>
      <c r="AI31" s="3">
        <f>41+0</f>
        <v>41</v>
      </c>
      <c r="AJ31" s="3">
        <v>434</v>
      </c>
      <c r="AK31" s="3">
        <v>451</v>
      </c>
    </row>
    <row r="32" spans="1:38" ht="27" customHeight="1" x14ac:dyDescent="0.35">
      <c r="A32" s="36"/>
      <c r="B32" s="40" t="s">
        <v>19</v>
      </c>
      <c r="C32" s="21">
        <v>25460</v>
      </c>
      <c r="D32" s="22">
        <v>44460</v>
      </c>
      <c r="E32" s="22">
        <v>34200</v>
      </c>
      <c r="F32" s="22">
        <v>45621</v>
      </c>
      <c r="G32" s="22">
        <v>20829</v>
      </c>
      <c r="H32" s="22">
        <v>27860</v>
      </c>
      <c r="I32" s="22">
        <v>432</v>
      </c>
      <c r="J32" s="22">
        <v>25452</v>
      </c>
      <c r="K32" s="22">
        <v>27446</v>
      </c>
      <c r="L32" s="22">
        <v>26938</v>
      </c>
      <c r="M32" s="22">
        <v>27853</v>
      </c>
      <c r="N32" s="22">
        <v>23785</v>
      </c>
      <c r="O32" s="3">
        <f>8516+18715</f>
        <v>27231</v>
      </c>
      <c r="P32" s="4">
        <f>212+32350</f>
        <v>32562</v>
      </c>
      <c r="Q32" s="3">
        <f>762+29047</f>
        <v>29809</v>
      </c>
      <c r="R32" s="3">
        <f>20+19909</f>
        <v>19929</v>
      </c>
      <c r="S32" s="3">
        <f>232+27244</f>
        <v>27476</v>
      </c>
      <c r="T32" s="3">
        <f>544+16681</f>
        <v>17225</v>
      </c>
      <c r="U32" s="3">
        <f>766+16309</f>
        <v>17075</v>
      </c>
      <c r="V32" s="3">
        <f>497+33502</f>
        <v>33999</v>
      </c>
      <c r="W32" s="3">
        <f>916+36274</f>
        <v>37190</v>
      </c>
      <c r="X32" s="3">
        <v>41168</v>
      </c>
      <c r="Y32" s="3">
        <f>3360+51452</f>
        <v>54812</v>
      </c>
      <c r="Z32" s="18">
        <f>534+43411</f>
        <v>43945</v>
      </c>
      <c r="AD32" s="3">
        <f>331+52103</f>
        <v>52434</v>
      </c>
      <c r="AE32" s="3">
        <f>443+53201</f>
        <v>53644</v>
      </c>
      <c r="AF32" s="3">
        <f>51+41839</f>
        <v>41890</v>
      </c>
      <c r="AG32" s="3">
        <f>213+31418</f>
        <v>31631</v>
      </c>
      <c r="AH32" s="3">
        <v>25527</v>
      </c>
      <c r="AI32" s="3">
        <f>290+24783</f>
        <v>25073</v>
      </c>
      <c r="AJ32" s="3">
        <v>20137</v>
      </c>
      <c r="AK32" s="3">
        <f>288+22085</f>
        <v>22373</v>
      </c>
    </row>
    <row r="33" spans="1:37" ht="27" customHeight="1" x14ac:dyDescent="0.35">
      <c r="A33" s="36"/>
      <c r="B33" s="40" t="s">
        <v>22</v>
      </c>
      <c r="C33" s="21">
        <v>1095540</v>
      </c>
      <c r="D33" s="22">
        <v>930620</v>
      </c>
      <c r="E33" s="22">
        <v>1013080</v>
      </c>
      <c r="F33" s="22">
        <v>982321</v>
      </c>
      <c r="G33" s="22">
        <v>922399</v>
      </c>
      <c r="H33" s="22">
        <v>953832</v>
      </c>
      <c r="I33" s="22">
        <v>747978</v>
      </c>
      <c r="J33" s="22">
        <v>726659</v>
      </c>
      <c r="K33" s="22">
        <v>772625</v>
      </c>
      <c r="L33" s="22">
        <v>835204</v>
      </c>
      <c r="M33" s="22">
        <v>770127</v>
      </c>
      <c r="N33" s="22">
        <v>795594</v>
      </c>
      <c r="O33" s="3">
        <f>1082381+526681+35223+14415</f>
        <v>1658700</v>
      </c>
      <c r="P33" s="4">
        <f>1144942+526516+32183+11601</f>
        <v>1715242</v>
      </c>
      <c r="Q33" s="3">
        <f>1075986+490845+31426+7674</f>
        <v>1605931</v>
      </c>
      <c r="R33" s="3">
        <f>856390+501507+30162+12496</f>
        <v>1400555</v>
      </c>
      <c r="S33" s="3">
        <f>876981+480570+41597+12291</f>
        <v>1411439</v>
      </c>
      <c r="T33" s="3">
        <f>898379+477958+45986+15618</f>
        <v>1437941</v>
      </c>
      <c r="U33" s="3">
        <f>970492+512084+47157+12782</f>
        <v>1542515</v>
      </c>
      <c r="V33" s="3">
        <f>954362+471691+44243+20421</f>
        <v>1490717</v>
      </c>
      <c r="W33" s="3">
        <f>986676+482658+43892+19794</f>
        <v>1533020</v>
      </c>
      <c r="X33" s="3">
        <f>1032669+519395+46984+9846</f>
        <v>1608894</v>
      </c>
      <c r="Y33" s="3">
        <f>925458+480411+46175+19643</f>
        <v>1471687</v>
      </c>
      <c r="Z33" s="18">
        <f>806919+426433+41423+20473</f>
        <v>1295248</v>
      </c>
      <c r="AD33" s="3">
        <f>1028026+497966+66633+17588</f>
        <v>1610213</v>
      </c>
      <c r="AE33" s="3">
        <f>863754+504148+58456+16571</f>
        <v>1442929</v>
      </c>
      <c r="AF33" s="3">
        <f>887594+501482+55239+21831</f>
        <v>1466146</v>
      </c>
      <c r="AG33" s="3">
        <f>987717+513694+66676+21114</f>
        <v>1589201</v>
      </c>
      <c r="AH33" s="3">
        <f>1022610+480343+48440+41568</f>
        <v>1592961</v>
      </c>
      <c r="AI33" s="3">
        <f>992011+523133+75349+24898</f>
        <v>1615391</v>
      </c>
      <c r="AJ33" s="3">
        <f>1008029+506678+72186+23609</f>
        <v>1610502</v>
      </c>
      <c r="AK33" s="3">
        <f>876769+512212+47263+32656</f>
        <v>1468900</v>
      </c>
    </row>
    <row r="34" spans="1:37" ht="27" customHeight="1" x14ac:dyDescent="0.35">
      <c r="A34" s="36"/>
      <c r="B34" s="40" t="s">
        <v>23</v>
      </c>
      <c r="C34" s="21">
        <v>730360</v>
      </c>
      <c r="D34" s="22">
        <v>918840</v>
      </c>
      <c r="E34" s="22">
        <v>753920</v>
      </c>
      <c r="F34" s="22">
        <v>690226</v>
      </c>
      <c r="G34" s="22">
        <v>515793</v>
      </c>
      <c r="H34" s="22">
        <v>562149</v>
      </c>
      <c r="I34" s="22">
        <v>565130</v>
      </c>
      <c r="J34" s="22">
        <v>553955</v>
      </c>
      <c r="K34" s="22">
        <v>592291</v>
      </c>
      <c r="L34" s="22">
        <v>611967</v>
      </c>
      <c r="M34" s="22">
        <v>607009</v>
      </c>
      <c r="N34" s="22">
        <v>613074</v>
      </c>
      <c r="O34" s="3">
        <f>130583+255455+380896+876</f>
        <v>767810</v>
      </c>
      <c r="P34" s="4">
        <f>354182+252604+142240</f>
        <v>749026</v>
      </c>
      <c r="Q34" s="3">
        <f>331520+258790+125714+1249</f>
        <v>717273</v>
      </c>
      <c r="R34" s="3">
        <f>295629+241160+107687+2109</f>
        <v>646585</v>
      </c>
      <c r="S34" s="3">
        <f>334044+239311+108611+310+488</f>
        <v>682764</v>
      </c>
      <c r="T34" s="3">
        <f>372904+250236+111246+1488+239+660</f>
        <v>736773</v>
      </c>
      <c r="U34" s="3">
        <f>369885+269182+127721</f>
        <v>766788</v>
      </c>
      <c r="V34" s="3">
        <f>385013+269269+133108+2074+1047+789</f>
        <v>791300</v>
      </c>
      <c r="W34" s="3">
        <f>11993+141868+258898+365993+1554+520</f>
        <v>780826</v>
      </c>
      <c r="X34" s="3">
        <f>346032+267698+119970+23762+483+787</f>
        <v>758732</v>
      </c>
      <c r="Y34" s="3">
        <f>353853+266724+116491+22312+706+466+242+156</f>
        <v>760950</v>
      </c>
      <c r="Z34" s="18">
        <f>328058+244273+113115+20774+955+1200+578</f>
        <v>708953</v>
      </c>
      <c r="AD34" s="3">
        <f>377870+290887+151865+20892+2074+633+1988</f>
        <v>846209</v>
      </c>
      <c r="AE34" s="3">
        <f>367791+275513+147150+15705+393+803+379</f>
        <v>807734</v>
      </c>
      <c r="AF34" s="3">
        <f>370133+267610+139876+1431+1519+1314+17550</f>
        <v>799433</v>
      </c>
      <c r="AG34" s="3">
        <f>261792+226690+122898+16415+3594+302</f>
        <v>631691</v>
      </c>
      <c r="AH34" s="3">
        <f>329281+271833+127883+6387+1484</f>
        <v>736868</v>
      </c>
      <c r="AI34" s="3">
        <f>304956+285893+124909+11855+445</f>
        <v>728058</v>
      </c>
      <c r="AJ34" s="3">
        <f>7454+129040+300120+361850+676</f>
        <v>799140</v>
      </c>
      <c r="AK34" s="3">
        <f>356359+305598+146741+8872+0+326+352+352</f>
        <v>818600</v>
      </c>
    </row>
    <row r="35" spans="1:37" ht="27" customHeight="1" x14ac:dyDescent="0.35">
      <c r="A35" s="36"/>
      <c r="B35" s="42" t="s">
        <v>33</v>
      </c>
      <c r="C35" s="21">
        <f xml:space="preserve"> 25766.57</f>
        <v>25766.57</v>
      </c>
      <c r="D35" s="22">
        <v>37026</v>
      </c>
      <c r="E35" s="22">
        <v>35357</v>
      </c>
      <c r="F35" s="22">
        <v>22730</v>
      </c>
      <c r="G35" s="22">
        <v>17683</v>
      </c>
      <c r="H35" s="22">
        <v>0</v>
      </c>
      <c r="I35" s="22">
        <v>9369</v>
      </c>
      <c r="J35" s="22">
        <v>21746</v>
      </c>
      <c r="K35" s="22">
        <v>33991</v>
      </c>
      <c r="L35" s="22">
        <v>30086</v>
      </c>
      <c r="M35" s="22">
        <v>32635</v>
      </c>
      <c r="N35" s="22">
        <v>17400</v>
      </c>
      <c r="O35" s="3">
        <v>6070</v>
      </c>
      <c r="P35" s="4">
        <v>12189</v>
      </c>
      <c r="Q35" s="3">
        <v>20476</v>
      </c>
      <c r="R35" s="3">
        <v>33385</v>
      </c>
      <c r="S35" s="3">
        <v>22166</v>
      </c>
      <c r="T35" s="3">
        <v>23257</v>
      </c>
      <c r="U35" s="3">
        <v>25852</v>
      </c>
      <c r="V35" s="3">
        <v>32490</v>
      </c>
      <c r="W35" s="3">
        <v>25816</v>
      </c>
      <c r="X35" s="3">
        <v>28804</v>
      </c>
      <c r="Y35" s="3">
        <v>29086</v>
      </c>
      <c r="Z35" s="18">
        <v>23725</v>
      </c>
      <c r="AD35" s="3">
        <v>32097</v>
      </c>
      <c r="AE35" s="3">
        <v>26444</v>
      </c>
      <c r="AF35" s="3">
        <v>23675</v>
      </c>
      <c r="AG35" s="3">
        <f>12477+0</f>
        <v>12477</v>
      </c>
      <c r="AH35" s="3">
        <v>29260</v>
      </c>
      <c r="AI35" s="3">
        <f>32179+0</f>
        <v>32179</v>
      </c>
      <c r="AJ35" s="3">
        <v>30011</v>
      </c>
      <c r="AK35" s="3">
        <f>31521+0</f>
        <v>31521</v>
      </c>
    </row>
    <row r="36" spans="1:37" ht="27" customHeight="1" x14ac:dyDescent="0.35">
      <c r="A36" s="36"/>
      <c r="B36" s="40" t="s">
        <v>27</v>
      </c>
      <c r="C36" s="21">
        <f>12867.32</f>
        <v>12867.32</v>
      </c>
      <c r="D36" s="22">
        <v>18375</v>
      </c>
      <c r="E36" s="22">
        <v>0</v>
      </c>
      <c r="F36" s="22">
        <v>0</v>
      </c>
      <c r="G36" s="22">
        <v>0</v>
      </c>
      <c r="H36" s="22">
        <v>0</v>
      </c>
      <c r="I36" s="22">
        <v>31</v>
      </c>
      <c r="J36" s="22">
        <v>0</v>
      </c>
      <c r="K36" s="22">
        <v>317</v>
      </c>
      <c r="L36" s="22">
        <v>427</v>
      </c>
      <c r="M36" s="22">
        <v>2806</v>
      </c>
      <c r="N36" s="22">
        <v>1891</v>
      </c>
      <c r="O36" s="3">
        <v>2034</v>
      </c>
      <c r="P36" s="4">
        <v>448</v>
      </c>
      <c r="Q36" s="3">
        <v>594</v>
      </c>
      <c r="R36" s="3">
        <v>1123</v>
      </c>
      <c r="S36" s="3">
        <v>1256</v>
      </c>
      <c r="T36" s="3">
        <v>0</v>
      </c>
      <c r="U36" s="3">
        <v>98</v>
      </c>
      <c r="V36" s="3">
        <v>362</v>
      </c>
      <c r="W36" s="3">
        <v>400</v>
      </c>
      <c r="X36" s="3">
        <v>473</v>
      </c>
      <c r="Y36" s="3">
        <v>0</v>
      </c>
      <c r="Z36" s="18">
        <v>0</v>
      </c>
      <c r="AD36" s="3">
        <v>394</v>
      </c>
      <c r="AE36" s="3">
        <v>294</v>
      </c>
      <c r="AF36" s="3">
        <v>0</v>
      </c>
      <c r="AG36" s="3">
        <v>253</v>
      </c>
      <c r="AH36" s="3">
        <v>1759</v>
      </c>
      <c r="AI36" s="3">
        <v>735</v>
      </c>
      <c r="AJ36" s="3">
        <v>0</v>
      </c>
      <c r="AK36" s="3">
        <v>128</v>
      </c>
    </row>
    <row r="37" spans="1:37" ht="27" customHeight="1" x14ac:dyDescent="0.35">
      <c r="A37" s="36"/>
      <c r="B37" s="40" t="s">
        <v>21</v>
      </c>
      <c r="C37" s="21">
        <f xml:space="preserve"> 288277.1277</f>
        <v>288277.12770000001</v>
      </c>
      <c r="D37" s="22">
        <v>381875</v>
      </c>
      <c r="E37" s="22">
        <v>375148</v>
      </c>
      <c r="F37" s="22">
        <v>345796</v>
      </c>
      <c r="G37" s="22">
        <v>281050</v>
      </c>
      <c r="H37" s="22">
        <v>311793</v>
      </c>
      <c r="I37" s="22">
        <v>263336</v>
      </c>
      <c r="J37" s="22">
        <v>238753</v>
      </c>
      <c r="K37" s="22">
        <v>282874</v>
      </c>
      <c r="L37" s="22">
        <v>263733</v>
      </c>
      <c r="M37" s="22">
        <v>277789</v>
      </c>
      <c r="N37" s="22">
        <v>294412</v>
      </c>
      <c r="O37" s="3">
        <f>282572+67093+24910+515</f>
        <v>375090</v>
      </c>
      <c r="P37" s="4">
        <f>285029+89369+20776+494</f>
        <v>395668</v>
      </c>
      <c r="Q37" s="3">
        <f>269132+49692+27241+22</f>
        <v>346087</v>
      </c>
      <c r="R37" s="3">
        <f>265874+83295+8437+524</f>
        <v>358130</v>
      </c>
      <c r="S37" s="3">
        <f>243600+86251+12100+128</f>
        <v>342079</v>
      </c>
      <c r="T37" s="3">
        <f>243529+80690+6799+381</f>
        <v>331399</v>
      </c>
      <c r="U37" s="3">
        <f>248083+69217+1094+2007</f>
        <v>320401</v>
      </c>
      <c r="V37" s="3">
        <f>269837+59715+3881+361</f>
        <v>333794</v>
      </c>
      <c r="W37" s="3">
        <f>262443+65325+10409+1580</f>
        <v>339757</v>
      </c>
      <c r="X37" s="3">
        <f>228174+83302+10302+2144</f>
        <v>323922</v>
      </c>
      <c r="Y37" s="3">
        <f>260758+71652+193+9588</f>
        <v>342191</v>
      </c>
      <c r="Z37" s="18">
        <f>214692+83098+10602+1797</f>
        <v>310189</v>
      </c>
      <c r="AD37" s="3">
        <f>255038+103697+2874+1180</f>
        <v>362789</v>
      </c>
      <c r="AE37" s="3">
        <f>224375+90272+5912+1229</f>
        <v>321788</v>
      </c>
      <c r="AF37" s="3">
        <f>256080+60369+13932+448</f>
        <v>330829</v>
      </c>
      <c r="AG37" s="3">
        <f>259025+51456+10967+144</f>
        <v>321592</v>
      </c>
      <c r="AH37" s="3">
        <f>221054+81314+11695+2042</f>
        <v>316105</v>
      </c>
      <c r="AI37" s="3">
        <f>228824+70520+7159+2227</f>
        <v>308730</v>
      </c>
      <c r="AJ37" s="3">
        <f>226209+71748+4536+4028</f>
        <v>306521</v>
      </c>
      <c r="AK37" s="3">
        <f>213768+88435+10998+5417</f>
        <v>318618</v>
      </c>
    </row>
    <row r="38" spans="1:37" ht="27" customHeight="1" x14ac:dyDescent="0.35">
      <c r="A38" s="36"/>
      <c r="B38" s="40" t="s">
        <v>24</v>
      </c>
      <c r="C38" s="21">
        <f xml:space="preserve"> 123431.1498</f>
        <v>123431.1498</v>
      </c>
      <c r="D38" s="22">
        <v>150081</v>
      </c>
      <c r="E38" s="22">
        <v>159830</v>
      </c>
      <c r="F38" s="22">
        <v>135814</v>
      </c>
      <c r="G38" s="22">
        <v>154660</v>
      </c>
      <c r="H38" s="22">
        <v>178971</v>
      </c>
      <c r="I38" s="22">
        <v>199103</v>
      </c>
      <c r="J38" s="22">
        <v>203409</v>
      </c>
      <c r="K38" s="22">
        <v>235807</v>
      </c>
      <c r="L38" s="22">
        <v>192243</v>
      </c>
      <c r="M38" s="22">
        <v>215642</v>
      </c>
      <c r="N38" s="22">
        <v>210145</v>
      </c>
      <c r="O38" s="3">
        <f>340016+7792</f>
        <v>347808</v>
      </c>
      <c r="P38" s="4">
        <f>329312+9159</f>
        <v>338471</v>
      </c>
      <c r="Q38" s="3">
        <f>278566+10822</f>
        <v>289388</v>
      </c>
      <c r="R38" s="3">
        <f>260732+8320</f>
        <v>269052</v>
      </c>
      <c r="S38" s="3">
        <f>282176+9099</f>
        <v>291275</v>
      </c>
      <c r="T38" s="3">
        <f>306901+9744</f>
        <v>316645</v>
      </c>
      <c r="U38" s="3">
        <f>306896+8992</f>
        <v>315888</v>
      </c>
      <c r="V38" s="3">
        <f>292859+8113</f>
        <v>300972</v>
      </c>
      <c r="W38" s="3">
        <f>282620+11564</f>
        <v>294184</v>
      </c>
      <c r="X38" s="3">
        <f>246177+9847</f>
        <v>256024</v>
      </c>
      <c r="Y38" s="3">
        <f>221546+7453</f>
        <v>228999</v>
      </c>
      <c r="Z38" s="18">
        <f>221768+5661</f>
        <v>227429</v>
      </c>
      <c r="AD38" s="3">
        <f>207180+8799</f>
        <v>215979</v>
      </c>
      <c r="AE38" s="3">
        <f>194988+7982</f>
        <v>202970</v>
      </c>
      <c r="AF38" s="3">
        <f>202101+6850</f>
        <v>208951</v>
      </c>
      <c r="AG38" s="3">
        <f>209863+6840</f>
        <v>216703</v>
      </c>
      <c r="AH38" s="3">
        <f>232569+3306</f>
        <v>235875</v>
      </c>
      <c r="AI38" s="3">
        <f>187231+6959</f>
        <v>194190</v>
      </c>
      <c r="AJ38" s="3">
        <f>195697+6483</f>
        <v>202180</v>
      </c>
      <c r="AK38" s="3">
        <f>191536+6754</f>
        <v>198290</v>
      </c>
    </row>
    <row r="39" spans="1:37" ht="27" customHeight="1" x14ac:dyDescent="0.35">
      <c r="A39" s="36"/>
      <c r="B39" s="40" t="s">
        <v>25</v>
      </c>
      <c r="C39" s="2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2328</v>
      </c>
      <c r="J39" s="22">
        <v>1</v>
      </c>
      <c r="K39" s="22">
        <v>0</v>
      </c>
      <c r="L39" s="22">
        <v>0</v>
      </c>
      <c r="M39" s="22">
        <v>0</v>
      </c>
      <c r="N39" s="22">
        <v>0</v>
      </c>
      <c r="O39" s="3">
        <v>4996</v>
      </c>
      <c r="P39" s="4">
        <v>0</v>
      </c>
      <c r="Q39" s="3">
        <v>0</v>
      </c>
      <c r="R39" s="3">
        <v>1117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18">
        <v>0</v>
      </c>
      <c r="AD39" s="3">
        <v>541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</row>
    <row r="40" spans="1:37" ht="27" customHeight="1" x14ac:dyDescent="0.35">
      <c r="A40" s="36"/>
      <c r="B40" s="40" t="s">
        <v>57</v>
      </c>
      <c r="C40" s="25">
        <v>34</v>
      </c>
      <c r="D40" s="24">
        <v>27492</v>
      </c>
      <c r="E40" s="24">
        <v>370409</v>
      </c>
      <c r="F40" s="24">
        <v>37134</v>
      </c>
      <c r="G40" s="24">
        <v>38132</v>
      </c>
      <c r="H40" s="24">
        <v>47822</v>
      </c>
      <c r="I40" s="24">
        <v>59595</v>
      </c>
      <c r="J40" s="24">
        <v>83672</v>
      </c>
      <c r="K40" s="24">
        <v>98119</v>
      </c>
      <c r="L40" s="22">
        <v>123463</v>
      </c>
      <c r="M40" s="22">
        <v>120242</v>
      </c>
      <c r="N40" s="22">
        <v>131497</v>
      </c>
      <c r="P40" s="4"/>
      <c r="Z40" s="18"/>
    </row>
    <row r="41" spans="1:37" ht="27" customHeight="1" x14ac:dyDescent="0.35">
      <c r="A41" s="36"/>
      <c r="B41" s="23" t="s">
        <v>28</v>
      </c>
      <c r="C41" s="21">
        <f xml:space="preserve"> 92295.2</f>
        <v>92295.2</v>
      </c>
      <c r="D41" s="22">
        <v>128476</v>
      </c>
      <c r="E41" s="22">
        <v>170240</v>
      </c>
      <c r="F41" s="22">
        <v>173360</v>
      </c>
      <c r="G41" s="22">
        <v>172697</v>
      </c>
      <c r="H41" s="22">
        <v>155120</v>
      </c>
      <c r="I41" s="24">
        <v>136692</v>
      </c>
      <c r="J41" s="22">
        <v>148763</v>
      </c>
      <c r="K41" s="22">
        <v>153127</v>
      </c>
      <c r="L41" s="22">
        <v>156528</v>
      </c>
      <c r="M41" s="22">
        <v>134941</v>
      </c>
      <c r="N41" s="22">
        <v>159708</v>
      </c>
      <c r="O41" s="3">
        <v>181903</v>
      </c>
      <c r="P41" s="4">
        <v>168682</v>
      </c>
      <c r="Q41" s="3">
        <v>156834</v>
      </c>
      <c r="R41" s="3">
        <v>173633</v>
      </c>
      <c r="S41" s="3">
        <v>166168</v>
      </c>
      <c r="T41" s="3">
        <v>169096</v>
      </c>
      <c r="U41" s="3">
        <v>155712</v>
      </c>
      <c r="V41" s="3">
        <v>158702</v>
      </c>
      <c r="W41" s="3">
        <v>169391</v>
      </c>
      <c r="X41" s="3">
        <v>169981</v>
      </c>
      <c r="Y41" s="3">
        <v>166141</v>
      </c>
      <c r="Z41" s="18">
        <v>149184</v>
      </c>
      <c r="AD41" s="3">
        <f>141860+391</f>
        <v>142251</v>
      </c>
      <c r="AE41" s="3">
        <v>119856</v>
      </c>
      <c r="AF41" s="3">
        <f>175756+461</f>
        <v>176217</v>
      </c>
      <c r="AG41" s="3">
        <f>108235+0</f>
        <v>108235</v>
      </c>
      <c r="AH41" s="3">
        <v>116444</v>
      </c>
      <c r="AI41" s="3">
        <v>120488</v>
      </c>
      <c r="AJ41" s="3">
        <v>128241</v>
      </c>
      <c r="AK41" s="3">
        <v>131982</v>
      </c>
    </row>
    <row r="42" spans="1:37" ht="27" customHeight="1" x14ac:dyDescent="0.35">
      <c r="A42" s="36"/>
      <c r="B42" s="40" t="s">
        <v>37</v>
      </c>
      <c r="C42" s="21">
        <f xml:space="preserve"> 35633.1</f>
        <v>35633.1</v>
      </c>
      <c r="D42" s="22">
        <v>42657</v>
      </c>
      <c r="E42" s="22">
        <v>52341</v>
      </c>
      <c r="F42" s="22">
        <v>41179</v>
      </c>
      <c r="G42" s="22">
        <v>42941</v>
      </c>
      <c r="H42" s="22">
        <v>57972</v>
      </c>
      <c r="I42" s="24">
        <v>44164</v>
      </c>
      <c r="J42" s="22">
        <v>47677</v>
      </c>
      <c r="K42" s="22">
        <v>51255</v>
      </c>
      <c r="L42" s="22">
        <v>63062</v>
      </c>
      <c r="M42" s="22">
        <v>52989</v>
      </c>
      <c r="N42" s="22">
        <v>58286</v>
      </c>
      <c r="O42" s="3">
        <v>58523</v>
      </c>
      <c r="P42" s="4">
        <v>47758</v>
      </c>
      <c r="Q42" s="3">
        <v>49103</v>
      </c>
      <c r="R42" s="3">
        <v>59279</v>
      </c>
      <c r="S42" s="3">
        <v>58440</v>
      </c>
      <c r="T42" s="3">
        <v>52495</v>
      </c>
      <c r="U42" s="3">
        <v>54491</v>
      </c>
      <c r="V42" s="3">
        <v>62655</v>
      </c>
      <c r="W42" s="3">
        <v>70639</v>
      </c>
      <c r="X42" s="3">
        <v>70430</v>
      </c>
      <c r="Y42" s="3">
        <v>56992</v>
      </c>
      <c r="Z42" s="18">
        <v>49779</v>
      </c>
      <c r="AD42" s="3">
        <v>55017</v>
      </c>
      <c r="AE42" s="3">
        <v>41561</v>
      </c>
      <c r="AF42" s="3">
        <v>57709</v>
      </c>
      <c r="AG42" s="3">
        <v>58327</v>
      </c>
      <c r="AH42" s="3">
        <v>51904</v>
      </c>
      <c r="AI42" s="3">
        <v>49012</v>
      </c>
      <c r="AJ42" s="3">
        <v>53876</v>
      </c>
      <c r="AK42" s="3">
        <v>59573</v>
      </c>
    </row>
    <row r="43" spans="1:37" ht="27" customHeight="1" x14ac:dyDescent="0.35">
      <c r="A43" s="36"/>
      <c r="B43" s="40" t="s">
        <v>38</v>
      </c>
      <c r="C43" s="21">
        <f xml:space="preserve"> 8867.2</f>
        <v>8867.2000000000007</v>
      </c>
      <c r="D43" s="22">
        <v>9525</v>
      </c>
      <c r="E43" s="22">
        <v>15250</v>
      </c>
      <c r="F43" s="22">
        <v>14581</v>
      </c>
      <c r="G43" s="22">
        <v>11771</v>
      </c>
      <c r="H43" s="22">
        <v>3041</v>
      </c>
      <c r="I43" s="24">
        <v>1056</v>
      </c>
      <c r="J43" s="22">
        <v>8572</v>
      </c>
      <c r="K43" s="22">
        <v>6608</v>
      </c>
      <c r="L43" s="22">
        <v>2297</v>
      </c>
      <c r="M43" s="22">
        <v>4429</v>
      </c>
      <c r="N43" s="22">
        <v>13782</v>
      </c>
      <c r="O43" s="3">
        <v>18341</v>
      </c>
      <c r="P43" s="4">
        <v>9131</v>
      </c>
      <c r="Q43" s="3">
        <v>7700</v>
      </c>
      <c r="R43" s="3">
        <v>8806</v>
      </c>
      <c r="S43" s="3">
        <v>8893</v>
      </c>
      <c r="T43" s="3">
        <v>8144</v>
      </c>
      <c r="U43" s="3">
        <v>13597</v>
      </c>
      <c r="V43" s="3">
        <v>14605</v>
      </c>
      <c r="W43" s="3">
        <v>20683</v>
      </c>
      <c r="X43" s="3">
        <v>15490</v>
      </c>
      <c r="Y43" s="3">
        <v>19462</v>
      </c>
      <c r="Z43" s="18">
        <v>17281</v>
      </c>
      <c r="AD43" s="3">
        <v>12232</v>
      </c>
      <c r="AE43" s="3">
        <v>15737</v>
      </c>
      <c r="AF43" s="3">
        <v>17199</v>
      </c>
      <c r="AG43" s="3">
        <v>13361</v>
      </c>
      <c r="AH43" s="3">
        <v>12881</v>
      </c>
      <c r="AI43" s="3">
        <v>2893</v>
      </c>
      <c r="AJ43" s="3">
        <v>7657</v>
      </c>
      <c r="AK43" s="3">
        <v>760</v>
      </c>
    </row>
    <row r="44" spans="1:37" ht="27" customHeight="1" x14ac:dyDescent="0.35">
      <c r="A44" s="36"/>
      <c r="B44" s="40" t="s">
        <v>39</v>
      </c>
      <c r="C44" s="21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4">
        <v>0</v>
      </c>
      <c r="J44" s="22">
        <v>30</v>
      </c>
      <c r="K44" s="22">
        <v>0</v>
      </c>
      <c r="L44" s="22">
        <v>0</v>
      </c>
      <c r="M44" s="22">
        <v>0</v>
      </c>
      <c r="N44" s="22">
        <v>0</v>
      </c>
      <c r="O44" s="3">
        <v>0</v>
      </c>
      <c r="P44" s="4">
        <v>0</v>
      </c>
      <c r="Q44" s="3">
        <v>0</v>
      </c>
      <c r="R44" s="3">
        <v>0</v>
      </c>
      <c r="S44" s="3">
        <v>0</v>
      </c>
      <c r="T44" s="3">
        <v>0</v>
      </c>
      <c r="U44" s="3">
        <v>1090</v>
      </c>
      <c r="V44" s="3">
        <v>0</v>
      </c>
      <c r="W44" s="3">
        <v>92</v>
      </c>
      <c r="X44" s="3">
        <v>0</v>
      </c>
      <c r="Y44" s="3">
        <v>32</v>
      </c>
      <c r="Z44" s="18">
        <v>346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</row>
    <row r="45" spans="1:37" ht="27" customHeight="1" x14ac:dyDescent="0.35">
      <c r="A45" s="36"/>
      <c r="B45" s="40" t="s">
        <v>58</v>
      </c>
      <c r="C45" s="25">
        <v>301678</v>
      </c>
      <c r="D45" s="24">
        <v>291372</v>
      </c>
      <c r="E45" s="24">
        <v>279497</v>
      </c>
      <c r="F45" s="24">
        <v>285613</v>
      </c>
      <c r="G45" s="24">
        <v>300774</v>
      </c>
      <c r="H45" s="24">
        <v>306403</v>
      </c>
      <c r="I45" s="24">
        <v>316516</v>
      </c>
      <c r="J45" s="24">
        <v>291680</v>
      </c>
      <c r="K45" s="24">
        <v>305153</v>
      </c>
      <c r="L45" s="22">
        <v>318573</v>
      </c>
      <c r="M45" s="22">
        <v>288902</v>
      </c>
      <c r="N45" s="22">
        <v>286751</v>
      </c>
      <c r="P45" s="4"/>
      <c r="Z45" s="18"/>
    </row>
    <row r="46" spans="1:37" ht="27" customHeight="1" x14ac:dyDescent="0.35">
      <c r="A46" s="36"/>
      <c r="B46" s="23" t="s">
        <v>34</v>
      </c>
      <c r="C46" s="21">
        <f xml:space="preserve"> 8422.3</f>
        <v>8422.2999999999993</v>
      </c>
      <c r="D46" s="22">
        <v>12027</v>
      </c>
      <c r="E46" s="22">
        <v>3674</v>
      </c>
      <c r="F46" s="22">
        <v>7424</v>
      </c>
      <c r="G46" s="22">
        <v>0</v>
      </c>
      <c r="H46" s="22">
        <v>0</v>
      </c>
      <c r="I46" s="22">
        <v>60</v>
      </c>
      <c r="J46" s="22">
        <v>60</v>
      </c>
      <c r="K46" s="24">
        <v>0</v>
      </c>
      <c r="L46" s="22">
        <v>0</v>
      </c>
      <c r="M46" s="22">
        <v>4622</v>
      </c>
      <c r="N46" s="22">
        <v>5753</v>
      </c>
      <c r="O46" s="3">
        <v>26839</v>
      </c>
      <c r="P46" s="4">
        <v>28315</v>
      </c>
      <c r="Q46" s="3">
        <v>23316</v>
      </c>
      <c r="R46" s="3">
        <v>18193</v>
      </c>
      <c r="S46" s="3">
        <v>9108</v>
      </c>
      <c r="T46" s="3">
        <v>23303</v>
      </c>
      <c r="U46" s="3">
        <v>17778</v>
      </c>
      <c r="V46" s="3">
        <v>17378</v>
      </c>
      <c r="W46" s="3">
        <v>23628</v>
      </c>
      <c r="X46" s="3">
        <v>15109</v>
      </c>
      <c r="Y46" s="3">
        <v>31144</v>
      </c>
      <c r="Z46" s="18">
        <v>35266</v>
      </c>
      <c r="AD46" s="3">
        <v>24956</v>
      </c>
      <c r="AE46" s="3">
        <v>23491</v>
      </c>
      <c r="AF46" s="3">
        <v>27896</v>
      </c>
      <c r="AG46" s="3">
        <v>21147</v>
      </c>
      <c r="AH46" s="3">
        <v>16862</v>
      </c>
      <c r="AI46" s="3">
        <v>19585</v>
      </c>
      <c r="AJ46" s="3">
        <v>19763</v>
      </c>
      <c r="AK46" s="3">
        <v>19373</v>
      </c>
    </row>
    <row r="47" spans="1:37" ht="27" customHeight="1" x14ac:dyDescent="0.35">
      <c r="A47" s="36"/>
      <c r="B47" s="43" t="s">
        <v>32</v>
      </c>
      <c r="C47" s="21">
        <f xml:space="preserve"> 123369.543</f>
        <v>123369.54300000001</v>
      </c>
      <c r="D47" s="22">
        <v>145124</v>
      </c>
      <c r="E47" s="22">
        <v>147233</v>
      </c>
      <c r="F47" s="22">
        <v>117689</v>
      </c>
      <c r="G47" s="22">
        <v>144157</v>
      </c>
      <c r="H47" s="22">
        <v>121769</v>
      </c>
      <c r="I47" s="22">
        <v>138549</v>
      </c>
      <c r="J47" s="22">
        <v>128743</v>
      </c>
      <c r="K47" s="24">
        <v>138309</v>
      </c>
      <c r="L47" s="22">
        <v>143284</v>
      </c>
      <c r="M47" s="22">
        <v>163069</v>
      </c>
      <c r="N47" s="22">
        <v>164215</v>
      </c>
      <c r="O47" s="3">
        <f>57331+3071</f>
        <v>60402</v>
      </c>
      <c r="P47" s="4">
        <f>60358+1713</f>
        <v>62071</v>
      </c>
      <c r="Q47" s="3">
        <v>58367</v>
      </c>
      <c r="R47" s="3">
        <f>63438+856</f>
        <v>64294</v>
      </c>
      <c r="S47" s="3">
        <f>58250+1371</f>
        <v>59621</v>
      </c>
      <c r="T47" s="3">
        <f>65955+1648</f>
        <v>67603</v>
      </c>
      <c r="U47" s="3">
        <f>87290+1775</f>
        <v>89065</v>
      </c>
      <c r="V47" s="3">
        <f>86208+1254</f>
        <v>87462</v>
      </c>
      <c r="W47" s="3">
        <f>95140+1422</f>
        <v>96562</v>
      </c>
      <c r="X47" s="3">
        <f>87038+2375</f>
        <v>89413</v>
      </c>
      <c r="Y47" s="3">
        <f>91489+2336</f>
        <v>93825</v>
      </c>
      <c r="Z47" s="18">
        <f>83594+3637</f>
        <v>87231</v>
      </c>
      <c r="AB47" s="4"/>
      <c r="AD47" s="3">
        <f>111952+971</f>
        <v>112923</v>
      </c>
      <c r="AE47" s="3">
        <f>111111+1006</f>
        <v>112117</v>
      </c>
      <c r="AF47" s="3">
        <f>126080+3016</f>
        <v>129096</v>
      </c>
      <c r="AG47" s="3">
        <f>118335+602</f>
        <v>118937</v>
      </c>
      <c r="AH47" s="3">
        <f>138890+1796</f>
        <v>140686</v>
      </c>
      <c r="AI47" s="3">
        <f>141574+222</f>
        <v>141796</v>
      </c>
      <c r="AJ47" s="3">
        <f>134723+1593</f>
        <v>136316</v>
      </c>
      <c r="AK47" s="3">
        <f>150026+1355</f>
        <v>151381</v>
      </c>
    </row>
    <row r="48" spans="1:37" ht="27" customHeight="1" x14ac:dyDescent="0.35">
      <c r="A48" s="36"/>
      <c r="B48" s="43" t="s">
        <v>53</v>
      </c>
      <c r="C48" s="25">
        <v>126753</v>
      </c>
      <c r="D48" s="24">
        <v>18913</v>
      </c>
      <c r="E48" s="24">
        <v>21294</v>
      </c>
      <c r="F48" s="24">
        <v>16893</v>
      </c>
      <c r="G48" s="24">
        <v>18534</v>
      </c>
      <c r="H48" s="24">
        <v>18015</v>
      </c>
      <c r="I48" s="24">
        <v>3861</v>
      </c>
      <c r="J48" s="24">
        <v>8757</v>
      </c>
      <c r="K48" s="24">
        <v>3362</v>
      </c>
      <c r="L48" s="22">
        <v>6093</v>
      </c>
      <c r="M48" s="22">
        <v>10214</v>
      </c>
      <c r="N48" s="22">
        <v>16282</v>
      </c>
      <c r="P48" s="4"/>
      <c r="Z48" s="18"/>
      <c r="AB48" s="4"/>
    </row>
    <row r="49" spans="1:38" ht="27" customHeight="1" x14ac:dyDescent="0.35">
      <c r="A49" s="36"/>
      <c r="B49" s="42" t="s">
        <v>40</v>
      </c>
      <c r="C49" s="25">
        <f xml:space="preserve"> 295819.12</f>
        <v>295819.12</v>
      </c>
      <c r="D49" s="24">
        <v>415098</v>
      </c>
      <c r="E49" s="24">
        <v>404436</v>
      </c>
      <c r="F49" s="24">
        <v>452264</v>
      </c>
      <c r="G49" s="24">
        <v>484094</v>
      </c>
      <c r="H49" s="22">
        <v>422258</v>
      </c>
      <c r="I49" s="24">
        <v>475373</v>
      </c>
      <c r="J49" s="22">
        <v>394580</v>
      </c>
      <c r="K49" s="24">
        <v>452832</v>
      </c>
      <c r="L49" s="22">
        <v>482890</v>
      </c>
      <c r="M49" s="22">
        <v>497940</v>
      </c>
      <c r="N49" s="22">
        <v>473441</v>
      </c>
      <c r="P49" s="4"/>
      <c r="R49" s="3">
        <v>16579</v>
      </c>
      <c r="S49" s="3">
        <v>63207</v>
      </c>
      <c r="T49" s="3">
        <v>101579</v>
      </c>
      <c r="U49" s="3">
        <v>103003</v>
      </c>
      <c r="V49" s="3">
        <v>131161</v>
      </c>
      <c r="W49" s="3">
        <v>165579</v>
      </c>
      <c r="X49" s="3">
        <v>186904</v>
      </c>
      <c r="Y49" s="3">
        <f>199125+1180</f>
        <v>200305</v>
      </c>
      <c r="Z49" s="18">
        <f>215739+3</f>
        <v>215742</v>
      </c>
      <c r="AB49" s="4"/>
      <c r="AD49" s="3">
        <v>250974</v>
      </c>
      <c r="AE49" s="3">
        <v>262299</v>
      </c>
      <c r="AF49" s="3">
        <f>265581+188</f>
        <v>265769</v>
      </c>
      <c r="AG49" s="3">
        <f>269505+612</f>
        <v>270117</v>
      </c>
      <c r="AH49" s="3">
        <f>262178+180</f>
        <v>262358</v>
      </c>
      <c r="AI49" s="3">
        <f>282235+392</f>
        <v>282627</v>
      </c>
      <c r="AJ49" s="3">
        <f>314451+1222</f>
        <v>315673</v>
      </c>
      <c r="AK49" s="3">
        <v>383111</v>
      </c>
    </row>
    <row r="50" spans="1:38" ht="27" customHeight="1" x14ac:dyDescent="0.35">
      <c r="A50" s="36"/>
      <c r="B50" s="42" t="s">
        <v>59</v>
      </c>
      <c r="C50" s="25">
        <v>419096</v>
      </c>
      <c r="D50" s="24">
        <v>398327</v>
      </c>
      <c r="E50" s="24">
        <v>370409</v>
      </c>
      <c r="F50" s="24">
        <v>351766</v>
      </c>
      <c r="G50" s="24">
        <v>337830</v>
      </c>
      <c r="H50" s="24">
        <v>419276</v>
      </c>
      <c r="I50" s="24">
        <v>422344</v>
      </c>
      <c r="J50" s="24">
        <v>486568</v>
      </c>
      <c r="K50" s="24">
        <v>526350</v>
      </c>
      <c r="L50" s="22">
        <v>556589</v>
      </c>
      <c r="M50" s="22">
        <v>532562</v>
      </c>
      <c r="N50" s="22">
        <v>562755</v>
      </c>
      <c r="P50" s="4"/>
      <c r="Z50" s="18"/>
      <c r="AB50" s="4"/>
    </row>
    <row r="51" spans="1:38" ht="27" customHeight="1" x14ac:dyDescent="0.35">
      <c r="A51" s="36"/>
      <c r="B51" s="42" t="s">
        <v>55</v>
      </c>
      <c r="C51" s="25">
        <v>138124</v>
      </c>
      <c r="D51" s="24">
        <v>126753</v>
      </c>
      <c r="E51" s="24">
        <v>121922</v>
      </c>
      <c r="F51" s="24">
        <v>104908</v>
      </c>
      <c r="G51" s="24">
        <v>112689</v>
      </c>
      <c r="H51" s="24">
        <v>129573</v>
      </c>
      <c r="I51" s="24">
        <v>125580</v>
      </c>
      <c r="J51" s="24">
        <v>145639</v>
      </c>
      <c r="K51" s="24">
        <v>153065</v>
      </c>
      <c r="L51" s="22">
        <v>135689</v>
      </c>
      <c r="M51" s="22">
        <v>122876</v>
      </c>
      <c r="N51" s="22">
        <v>121135</v>
      </c>
      <c r="P51" s="4"/>
      <c r="Z51" s="18"/>
      <c r="AB51" s="4"/>
    </row>
    <row r="52" spans="1:38" ht="27" customHeight="1" x14ac:dyDescent="0.35">
      <c r="A52" s="36"/>
      <c r="B52" s="42" t="s">
        <v>29</v>
      </c>
      <c r="C52" s="25">
        <f xml:space="preserve"> 72213.12</f>
        <v>72213.119999999995</v>
      </c>
      <c r="D52" s="24">
        <v>98054</v>
      </c>
      <c r="E52" s="24">
        <v>76881</v>
      </c>
      <c r="F52" s="24">
        <v>84445</v>
      </c>
      <c r="G52" s="24">
        <v>90776</v>
      </c>
      <c r="H52" s="22">
        <v>86926</v>
      </c>
      <c r="I52" s="22">
        <v>68252</v>
      </c>
      <c r="J52" s="22">
        <v>87435</v>
      </c>
      <c r="K52" s="22">
        <v>103399</v>
      </c>
      <c r="L52" s="22">
        <v>109059</v>
      </c>
      <c r="M52" s="22">
        <v>108976</v>
      </c>
      <c r="N52" s="22">
        <v>107119</v>
      </c>
      <c r="O52" s="3">
        <v>117549</v>
      </c>
      <c r="P52" s="4">
        <v>106780</v>
      </c>
      <c r="Q52" s="3">
        <v>92252</v>
      </c>
      <c r="R52" s="3">
        <v>58885</v>
      </c>
      <c r="S52" s="3">
        <f>49074+208</f>
        <v>49282</v>
      </c>
      <c r="T52" s="3">
        <v>71888</v>
      </c>
      <c r="U52" s="3">
        <v>73288</v>
      </c>
      <c r="V52" s="3">
        <v>75409</v>
      </c>
      <c r="W52" s="4">
        <f>64926+446</f>
        <v>65372</v>
      </c>
      <c r="X52" s="3">
        <v>62540</v>
      </c>
      <c r="Y52" s="3">
        <v>62072</v>
      </c>
      <c r="Z52" s="18">
        <f>62298+195</f>
        <v>62493</v>
      </c>
      <c r="AD52" s="3">
        <v>59271</v>
      </c>
      <c r="AE52" s="4">
        <v>51432</v>
      </c>
      <c r="AF52" s="3">
        <v>51084</v>
      </c>
      <c r="AG52" s="3">
        <f>38649+1400</f>
        <v>40049</v>
      </c>
      <c r="AH52" s="3">
        <v>63624</v>
      </c>
      <c r="AI52" s="3">
        <f>63082+0</f>
        <v>63082</v>
      </c>
      <c r="AJ52" s="3">
        <f>67208+721</f>
        <v>67929</v>
      </c>
      <c r="AK52" s="3">
        <f>76702+498</f>
        <v>77200</v>
      </c>
    </row>
    <row r="53" spans="1:38" ht="27" customHeight="1" thickBot="1" x14ac:dyDescent="0.4">
      <c r="A53" s="36"/>
      <c r="B53" s="44" t="s">
        <v>41</v>
      </c>
      <c r="C53" s="21">
        <f xml:space="preserve"> 51312.34</f>
        <v>51312.34</v>
      </c>
      <c r="D53" s="22">
        <v>67284</v>
      </c>
      <c r="E53" s="22">
        <v>8321</v>
      </c>
      <c r="F53" s="22">
        <v>0</v>
      </c>
      <c r="G53" s="22">
        <v>3149</v>
      </c>
      <c r="H53" s="22">
        <v>40287</v>
      </c>
      <c r="I53" s="22">
        <v>67043</v>
      </c>
      <c r="J53" s="22">
        <v>83405</v>
      </c>
      <c r="K53" s="22">
        <v>75560</v>
      </c>
      <c r="L53" s="22">
        <v>90659</v>
      </c>
      <c r="M53" s="22">
        <v>118869</v>
      </c>
      <c r="N53" s="22">
        <v>111992</v>
      </c>
      <c r="O53" s="3">
        <v>118345</v>
      </c>
      <c r="P53" s="4">
        <v>96100</v>
      </c>
      <c r="Q53" s="3">
        <v>108785</v>
      </c>
      <c r="R53" s="3">
        <f>95108+42</f>
        <v>95150</v>
      </c>
      <c r="S53" s="3">
        <v>81519</v>
      </c>
      <c r="T53" s="3">
        <v>96428</v>
      </c>
      <c r="U53" s="3">
        <v>101549</v>
      </c>
      <c r="V53" s="3">
        <v>116833</v>
      </c>
      <c r="W53" s="4">
        <v>103890</v>
      </c>
      <c r="X53" s="4">
        <v>115346</v>
      </c>
      <c r="Y53" s="3">
        <v>117976</v>
      </c>
      <c r="Z53" s="18">
        <v>107294</v>
      </c>
      <c r="AD53" s="3">
        <f>125153+690</f>
        <v>125843</v>
      </c>
      <c r="AE53" s="4">
        <v>111507</v>
      </c>
      <c r="AF53" s="3">
        <v>95476</v>
      </c>
      <c r="AG53" s="3">
        <f>64964+542</f>
        <v>65506</v>
      </c>
      <c r="AH53" s="3">
        <v>66933</v>
      </c>
      <c r="AI53" s="3">
        <v>62512</v>
      </c>
      <c r="AJ53" s="3">
        <f>76257+0</f>
        <v>76257</v>
      </c>
      <c r="AK53" s="3">
        <f>83938+0</f>
        <v>83938</v>
      </c>
      <c r="AL53" s="3">
        <f>+AK54-AL56</f>
        <v>0</v>
      </c>
    </row>
    <row r="54" spans="1:38" ht="27" customHeight="1" thickBot="1" x14ac:dyDescent="0.4">
      <c r="A54" s="45"/>
      <c r="B54" s="27" t="s">
        <v>35</v>
      </c>
      <c r="C54" s="46">
        <f t="shared" ref="C54:Z54" si="2">SUM(C28:C53)</f>
        <v>4028879.2505000001</v>
      </c>
      <c r="D54" s="29">
        <f t="shared" si="2"/>
        <v>4319843</v>
      </c>
      <c r="E54" s="29">
        <f t="shared" si="2"/>
        <v>4461182</v>
      </c>
      <c r="F54" s="29">
        <f t="shared" si="2"/>
        <v>3972348</v>
      </c>
      <c r="G54" s="29">
        <f t="shared" si="2"/>
        <v>3710487</v>
      </c>
      <c r="H54" s="29">
        <f t="shared" si="2"/>
        <v>3888281</v>
      </c>
      <c r="I54" s="29">
        <f t="shared" si="2"/>
        <v>3697990</v>
      </c>
      <c r="J54" s="29">
        <f t="shared" si="2"/>
        <v>3728584</v>
      </c>
      <c r="K54" s="29">
        <f t="shared" si="2"/>
        <v>4059423</v>
      </c>
      <c r="L54" s="29">
        <f t="shared" si="2"/>
        <v>4194160</v>
      </c>
      <c r="M54" s="29">
        <f t="shared" si="2"/>
        <v>4136641</v>
      </c>
      <c r="N54" s="29">
        <f t="shared" si="2"/>
        <v>4207237</v>
      </c>
      <c r="O54" s="4">
        <f t="shared" si="2"/>
        <v>3814913</v>
      </c>
      <c r="P54" s="4">
        <f t="shared" si="2"/>
        <v>3802129</v>
      </c>
      <c r="Q54" s="4">
        <f t="shared" si="2"/>
        <v>3548609</v>
      </c>
      <c r="R54" s="47">
        <f t="shared" si="2"/>
        <v>3273540</v>
      </c>
      <c r="S54" s="47">
        <f t="shared" si="2"/>
        <v>3315587</v>
      </c>
      <c r="T54" s="47">
        <f t="shared" si="2"/>
        <v>3490951</v>
      </c>
      <c r="U54" s="47">
        <f t="shared" si="2"/>
        <v>3639759</v>
      </c>
      <c r="V54" s="47">
        <f t="shared" si="2"/>
        <v>3689964</v>
      </c>
      <c r="W54" s="47">
        <f t="shared" si="2"/>
        <v>3756630</v>
      </c>
      <c r="X54" s="47">
        <f t="shared" si="2"/>
        <v>3783302</v>
      </c>
      <c r="Y54" s="48">
        <f t="shared" si="2"/>
        <v>3668205</v>
      </c>
      <c r="Z54" s="18">
        <f t="shared" si="2"/>
        <v>3365371</v>
      </c>
      <c r="AA54" s="3">
        <f>3230359+135012</f>
        <v>3365371</v>
      </c>
      <c r="AD54" s="3">
        <f t="shared" ref="AD54:AK54" si="3">SUM(AD28:AD53)</f>
        <v>3945555</v>
      </c>
      <c r="AE54" s="3">
        <f t="shared" si="3"/>
        <v>3626920</v>
      </c>
      <c r="AF54" s="3">
        <f t="shared" si="3"/>
        <v>3727948</v>
      </c>
      <c r="AG54" s="3">
        <f t="shared" si="3"/>
        <v>3535539</v>
      </c>
      <c r="AH54" s="3">
        <f t="shared" si="3"/>
        <v>3700433</v>
      </c>
      <c r="AI54" s="3">
        <f t="shared" si="3"/>
        <v>3667977</v>
      </c>
      <c r="AJ54" s="3">
        <f t="shared" si="3"/>
        <v>3810412</v>
      </c>
      <c r="AK54" s="3">
        <f t="shared" si="3"/>
        <v>3811229</v>
      </c>
      <c r="AL54" s="3">
        <v>3677976</v>
      </c>
    </row>
    <row r="55" spans="1:38" ht="27" customHeight="1" x14ac:dyDescent="0.35">
      <c r="A55" s="49" t="s">
        <v>42</v>
      </c>
      <c r="B55" s="15" t="s">
        <v>17</v>
      </c>
      <c r="C55" s="50">
        <v>0</v>
      </c>
      <c r="D55" s="39">
        <v>0</v>
      </c>
      <c r="E55" s="39">
        <v>0</v>
      </c>
      <c r="F55" s="39">
        <v>0</v>
      </c>
      <c r="G55" s="39">
        <v>240</v>
      </c>
      <c r="H55" s="39">
        <v>0</v>
      </c>
      <c r="I55" s="39">
        <v>0</v>
      </c>
      <c r="J55" s="39">
        <v>751</v>
      </c>
      <c r="K55" s="51">
        <v>0</v>
      </c>
      <c r="L55" s="51">
        <v>0</v>
      </c>
      <c r="M55" s="51">
        <v>0</v>
      </c>
      <c r="N55" s="51">
        <v>0</v>
      </c>
      <c r="O55" s="3">
        <v>0</v>
      </c>
      <c r="P55" s="3">
        <v>0</v>
      </c>
      <c r="Q55" s="3">
        <v>0</v>
      </c>
      <c r="R55" s="3">
        <v>0</v>
      </c>
      <c r="S55" s="3">
        <v>55</v>
      </c>
      <c r="T55" s="3">
        <v>0</v>
      </c>
      <c r="U55" s="3">
        <v>0</v>
      </c>
      <c r="V55" s="3">
        <v>0</v>
      </c>
      <c r="W55" s="3">
        <v>0</v>
      </c>
      <c r="X55" s="4">
        <v>132</v>
      </c>
      <c r="Y55" s="3">
        <v>0</v>
      </c>
      <c r="Z55" s="18">
        <v>0</v>
      </c>
      <c r="AA55" s="3">
        <f>+AA54/29</f>
        <v>116047.27586206897</v>
      </c>
      <c r="AD55" s="3">
        <v>0</v>
      </c>
      <c r="AE55" s="3">
        <v>0</v>
      </c>
      <c r="AF55" s="3">
        <v>0</v>
      </c>
      <c r="AG55" s="3">
        <v>0</v>
      </c>
      <c r="AH55" s="52">
        <v>0</v>
      </c>
      <c r="AI55" s="3">
        <v>554</v>
      </c>
      <c r="AJ55" s="3">
        <v>0</v>
      </c>
      <c r="AK55" s="3">
        <v>0</v>
      </c>
      <c r="AL55" s="3">
        <v>133253</v>
      </c>
    </row>
    <row r="56" spans="1:38" ht="27" customHeight="1" x14ac:dyDescent="0.35">
      <c r="A56" s="53"/>
      <c r="B56" s="20" t="s">
        <v>19</v>
      </c>
      <c r="C56" s="54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240</v>
      </c>
      <c r="K56" s="55">
        <v>0</v>
      </c>
      <c r="L56" s="55">
        <v>0</v>
      </c>
      <c r="M56" s="55">
        <v>236</v>
      </c>
      <c r="N56" s="55">
        <v>240</v>
      </c>
      <c r="O56" s="3">
        <v>3668</v>
      </c>
      <c r="P56" s="3">
        <v>212</v>
      </c>
      <c r="Q56" s="3">
        <v>366</v>
      </c>
      <c r="R56" s="3">
        <v>0</v>
      </c>
      <c r="S56" s="3">
        <v>0</v>
      </c>
      <c r="T56" s="3">
        <v>0</v>
      </c>
      <c r="U56" s="3">
        <v>0</v>
      </c>
      <c r="V56" s="4">
        <v>0</v>
      </c>
      <c r="W56" s="3">
        <v>0</v>
      </c>
      <c r="X56" s="4">
        <v>0</v>
      </c>
      <c r="Y56" s="3">
        <v>366</v>
      </c>
      <c r="Z56" s="18">
        <v>397</v>
      </c>
      <c r="AD56" s="3">
        <v>0</v>
      </c>
      <c r="AE56" s="3">
        <v>0</v>
      </c>
      <c r="AF56" s="3">
        <v>0</v>
      </c>
      <c r="AG56" s="3">
        <v>664</v>
      </c>
      <c r="AH56" s="52">
        <v>0</v>
      </c>
      <c r="AI56" s="3">
        <v>263</v>
      </c>
      <c r="AJ56" s="3">
        <v>0</v>
      </c>
      <c r="AK56" s="3">
        <v>240</v>
      </c>
      <c r="AL56" s="3">
        <f>+AL55+AL54</f>
        <v>3811229</v>
      </c>
    </row>
    <row r="57" spans="1:38" ht="27" customHeight="1" x14ac:dyDescent="0.35">
      <c r="A57" s="53"/>
      <c r="B57" s="20" t="s">
        <v>18</v>
      </c>
      <c r="C57" s="54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55">
        <v>0</v>
      </c>
      <c r="L57" s="55">
        <v>0</v>
      </c>
      <c r="M57" s="55">
        <v>0</v>
      </c>
      <c r="N57" s="55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4">
        <v>0</v>
      </c>
      <c r="Y57" s="3">
        <v>0</v>
      </c>
      <c r="Z57" s="18">
        <v>0</v>
      </c>
      <c r="AD57" s="3">
        <v>0</v>
      </c>
      <c r="AE57" s="3">
        <v>0</v>
      </c>
      <c r="AF57" s="3">
        <v>0</v>
      </c>
      <c r="AG57" s="3">
        <v>0</v>
      </c>
      <c r="AH57" s="52">
        <v>0</v>
      </c>
      <c r="AI57" s="3">
        <v>0</v>
      </c>
      <c r="AJ57" s="3">
        <v>0</v>
      </c>
      <c r="AK57" s="3">
        <v>0</v>
      </c>
      <c r="AL57" s="3">
        <f>+AL56/30</f>
        <v>127040.96666666666</v>
      </c>
    </row>
    <row r="58" spans="1:38" ht="27" customHeight="1" x14ac:dyDescent="0.35">
      <c r="A58" s="53"/>
      <c r="B58" s="20" t="s">
        <v>22</v>
      </c>
      <c r="C58" s="54">
        <v>25650</v>
      </c>
      <c r="D58" s="22">
        <v>27550</v>
      </c>
      <c r="E58" s="22">
        <v>26743</v>
      </c>
      <c r="F58" s="22">
        <v>26899</v>
      </c>
      <c r="G58" s="22">
        <v>719501</v>
      </c>
      <c r="H58" s="22">
        <v>711358</v>
      </c>
      <c r="I58" s="22">
        <v>702807</v>
      </c>
      <c r="J58" s="22">
        <v>705523</v>
      </c>
      <c r="K58" s="55">
        <v>703882</v>
      </c>
      <c r="L58" s="55">
        <v>12535</v>
      </c>
      <c r="M58" s="55">
        <v>700788</v>
      </c>
      <c r="N58" s="56">
        <v>730310</v>
      </c>
      <c r="O58" s="3">
        <f>555288+13737</f>
        <v>569025</v>
      </c>
      <c r="P58" s="4">
        <f>381347+10578</f>
        <v>391925</v>
      </c>
      <c r="Q58" s="3">
        <f>402671+14171</f>
        <v>416842</v>
      </c>
      <c r="R58" s="3">
        <f>530933+10481</f>
        <v>541414</v>
      </c>
      <c r="S58" s="3">
        <f>614868+10941</f>
        <v>625809</v>
      </c>
      <c r="T58" s="3">
        <f>705384+11495</f>
        <v>716879</v>
      </c>
      <c r="U58" s="3">
        <f>605528+8346</f>
        <v>613874</v>
      </c>
      <c r="V58" s="3">
        <f>605103+16207</f>
        <v>621310</v>
      </c>
      <c r="W58" s="3">
        <f>514234+9055</f>
        <v>523289</v>
      </c>
      <c r="X58" s="3">
        <f>458017+7301</f>
        <v>465318</v>
      </c>
      <c r="Y58" s="3">
        <f>475672+5848</f>
        <v>481520</v>
      </c>
      <c r="Z58" s="18">
        <f>569507+8495</f>
        <v>578002</v>
      </c>
      <c r="AB58" s="4"/>
      <c r="AD58" s="3">
        <f>589357+12382+321</f>
        <v>602060</v>
      </c>
      <c r="AE58" s="3">
        <f>626547+4716+402</f>
        <v>631665</v>
      </c>
      <c r="AF58" s="3">
        <f>655576+8757+1313</f>
        <v>665646</v>
      </c>
      <c r="AG58" s="3">
        <f>633781+3969</f>
        <v>637750</v>
      </c>
      <c r="AH58" s="52">
        <f>591621+9764</f>
        <v>601385</v>
      </c>
      <c r="AI58" s="3">
        <f>628904+11418</f>
        <v>640322</v>
      </c>
      <c r="AJ58" s="3">
        <f>566998+7100</f>
        <v>574098</v>
      </c>
      <c r="AK58" s="3">
        <f>641287+7738+1476</f>
        <v>650501</v>
      </c>
    </row>
    <row r="59" spans="1:38" ht="27" customHeight="1" x14ac:dyDescent="0.35">
      <c r="A59" s="53"/>
      <c r="B59" s="20" t="s">
        <v>23</v>
      </c>
      <c r="C59" s="54">
        <v>0</v>
      </c>
      <c r="D59" s="22">
        <v>0</v>
      </c>
      <c r="E59" s="22">
        <v>0</v>
      </c>
      <c r="F59" s="22">
        <v>0</v>
      </c>
      <c r="G59" s="22">
        <v>16251</v>
      </c>
      <c r="H59" s="22">
        <v>11818</v>
      </c>
      <c r="I59" s="22">
        <v>11293</v>
      </c>
      <c r="J59" s="22">
        <v>10082</v>
      </c>
      <c r="K59" s="55">
        <v>22602</v>
      </c>
      <c r="L59" s="55">
        <v>15056</v>
      </c>
      <c r="M59" s="55">
        <v>15250</v>
      </c>
      <c r="N59" s="55">
        <v>17594</v>
      </c>
      <c r="O59" s="3">
        <v>0</v>
      </c>
      <c r="P59" s="4">
        <v>0</v>
      </c>
      <c r="Q59" s="3">
        <v>663</v>
      </c>
      <c r="R59" s="3">
        <v>1342</v>
      </c>
      <c r="S59" s="3">
        <v>0</v>
      </c>
      <c r="T59" s="3">
        <v>0</v>
      </c>
      <c r="U59" s="3">
        <f>1162+557</f>
        <v>1719</v>
      </c>
      <c r="V59" s="3">
        <f>701+340</f>
        <v>1041</v>
      </c>
      <c r="W59" s="3">
        <v>0</v>
      </c>
      <c r="X59" s="3">
        <f>880+1654+676</f>
        <v>3210</v>
      </c>
      <c r="Y59" s="3">
        <v>0</v>
      </c>
      <c r="Z59" s="57">
        <v>450</v>
      </c>
      <c r="AD59" s="3">
        <v>0</v>
      </c>
      <c r="AE59" s="3">
        <f>83+400+564</f>
        <v>1047</v>
      </c>
      <c r="AF59" s="3">
        <f>583+480</f>
        <v>1063</v>
      </c>
      <c r="AG59" s="3">
        <v>0</v>
      </c>
      <c r="AH59" s="52">
        <v>719</v>
      </c>
      <c r="AI59" s="3">
        <v>627</v>
      </c>
      <c r="AJ59" s="3">
        <v>648</v>
      </c>
      <c r="AK59" s="3">
        <f>753+348</f>
        <v>1101</v>
      </c>
    </row>
    <row r="60" spans="1:38" ht="27" customHeight="1" x14ac:dyDescent="0.35">
      <c r="A60" s="53"/>
      <c r="B60" s="20" t="s">
        <v>55</v>
      </c>
      <c r="C60" s="58">
        <v>0</v>
      </c>
      <c r="D60" s="24">
        <v>0</v>
      </c>
      <c r="E60" s="24">
        <v>0</v>
      </c>
      <c r="F60" s="24">
        <v>648</v>
      </c>
      <c r="G60" s="24">
        <v>0</v>
      </c>
      <c r="H60" s="24">
        <v>0</v>
      </c>
      <c r="I60" s="24">
        <v>0</v>
      </c>
      <c r="J60" s="24">
        <v>0</v>
      </c>
      <c r="K60" s="56">
        <v>0</v>
      </c>
      <c r="L60" s="55">
        <v>360</v>
      </c>
      <c r="M60" s="55">
        <v>0</v>
      </c>
      <c r="N60" s="55">
        <v>0</v>
      </c>
      <c r="P60" s="4"/>
      <c r="Z60" s="18"/>
      <c r="AH60" s="52"/>
    </row>
    <row r="61" spans="1:38" ht="27" customHeight="1" x14ac:dyDescent="0.35">
      <c r="A61" s="53"/>
      <c r="B61" s="59" t="s">
        <v>40</v>
      </c>
      <c r="C61" s="58">
        <v>0</v>
      </c>
      <c r="D61" s="24">
        <v>0</v>
      </c>
      <c r="E61" s="24">
        <v>0</v>
      </c>
      <c r="F61" s="24">
        <v>0</v>
      </c>
      <c r="G61" s="24">
        <v>0</v>
      </c>
      <c r="H61" s="22">
        <v>0</v>
      </c>
      <c r="I61" s="24">
        <v>0</v>
      </c>
      <c r="J61" s="24">
        <v>0</v>
      </c>
      <c r="K61" s="56">
        <v>31</v>
      </c>
      <c r="L61" s="55">
        <v>0</v>
      </c>
      <c r="M61" s="55">
        <v>0</v>
      </c>
      <c r="N61" s="55">
        <v>0</v>
      </c>
      <c r="P61" s="4"/>
      <c r="Y61" s="3">
        <v>1362</v>
      </c>
      <c r="Z61" s="18">
        <v>0</v>
      </c>
      <c r="AD61" s="3">
        <v>0</v>
      </c>
      <c r="AE61" s="3">
        <v>0</v>
      </c>
      <c r="AF61" s="3">
        <v>0</v>
      </c>
      <c r="AG61" s="3">
        <v>0</v>
      </c>
      <c r="AH61" s="52">
        <v>0</v>
      </c>
      <c r="AI61" s="3">
        <v>0</v>
      </c>
      <c r="AJ61" s="3">
        <v>0</v>
      </c>
      <c r="AK61" s="3">
        <v>0</v>
      </c>
    </row>
    <row r="62" spans="1:38" ht="27" customHeight="1" x14ac:dyDescent="0.35">
      <c r="A62" s="53"/>
      <c r="B62" s="59" t="s">
        <v>56</v>
      </c>
      <c r="C62" s="58">
        <v>0</v>
      </c>
      <c r="D62" s="24">
        <v>0</v>
      </c>
      <c r="E62" s="24">
        <v>0</v>
      </c>
      <c r="F62" s="24">
        <v>0</v>
      </c>
      <c r="G62" s="24">
        <v>330</v>
      </c>
      <c r="H62" s="24">
        <v>0</v>
      </c>
      <c r="I62" s="24">
        <v>624</v>
      </c>
      <c r="J62" s="24">
        <v>914</v>
      </c>
      <c r="K62" s="56">
        <v>195</v>
      </c>
      <c r="L62" s="55">
        <v>0</v>
      </c>
      <c r="M62" s="55">
        <v>0</v>
      </c>
      <c r="N62" s="55">
        <v>362</v>
      </c>
      <c r="P62" s="4"/>
      <c r="Z62" s="18"/>
      <c r="AH62" s="52"/>
    </row>
    <row r="63" spans="1:38" ht="27" customHeight="1" x14ac:dyDescent="0.35">
      <c r="A63" s="53"/>
      <c r="B63" s="59" t="s">
        <v>57</v>
      </c>
      <c r="C63" s="58">
        <v>0</v>
      </c>
      <c r="D63" s="24">
        <v>0</v>
      </c>
      <c r="E63" s="24">
        <v>0</v>
      </c>
      <c r="F63" s="24">
        <v>0</v>
      </c>
      <c r="G63" s="24">
        <v>38132</v>
      </c>
      <c r="H63" s="24">
        <v>0</v>
      </c>
      <c r="I63" s="24">
        <v>0</v>
      </c>
      <c r="J63" s="24">
        <v>0</v>
      </c>
      <c r="K63" s="56">
        <v>0</v>
      </c>
      <c r="L63" s="55">
        <v>567</v>
      </c>
      <c r="M63" s="55">
        <v>0</v>
      </c>
      <c r="N63" s="55">
        <v>0</v>
      </c>
      <c r="P63" s="4"/>
      <c r="Z63" s="18"/>
      <c r="AH63" s="52"/>
    </row>
    <row r="64" spans="1:38" ht="27" customHeight="1" x14ac:dyDescent="0.35">
      <c r="A64" s="53"/>
      <c r="B64" s="59" t="s">
        <v>54</v>
      </c>
      <c r="C64" s="58">
        <v>1125</v>
      </c>
      <c r="D64" s="24">
        <v>464</v>
      </c>
      <c r="E64" s="24">
        <v>0</v>
      </c>
      <c r="F64" s="24">
        <v>669</v>
      </c>
      <c r="G64" s="24">
        <v>0</v>
      </c>
      <c r="H64" s="24">
        <v>0</v>
      </c>
      <c r="I64" s="24">
        <v>1500</v>
      </c>
      <c r="J64" s="24">
        <v>0</v>
      </c>
      <c r="K64" s="56">
        <v>1173</v>
      </c>
      <c r="L64" s="55">
        <v>0</v>
      </c>
      <c r="M64" s="55">
        <v>1356</v>
      </c>
      <c r="N64" s="55">
        <v>1060</v>
      </c>
      <c r="P64" s="4"/>
      <c r="Z64" s="18"/>
      <c r="AH64" s="52"/>
    </row>
    <row r="65" spans="1:38" ht="27" customHeight="1" x14ac:dyDescent="0.35">
      <c r="A65" s="53"/>
      <c r="B65" s="20" t="s">
        <v>27</v>
      </c>
      <c r="C65" s="58">
        <v>0</v>
      </c>
      <c r="D65" s="24">
        <v>0</v>
      </c>
      <c r="E65" s="24">
        <v>0</v>
      </c>
      <c r="F65" s="24">
        <v>0</v>
      </c>
      <c r="G65" s="22">
        <v>15846</v>
      </c>
      <c r="H65" s="22">
        <v>22415</v>
      </c>
      <c r="I65" s="22">
        <v>21848</v>
      </c>
      <c r="J65" s="22">
        <v>23248</v>
      </c>
      <c r="K65" s="55">
        <v>23036</v>
      </c>
      <c r="L65" s="55">
        <v>23709</v>
      </c>
      <c r="M65" s="55">
        <v>17090</v>
      </c>
      <c r="N65" s="55">
        <v>21263</v>
      </c>
      <c r="O65" s="3">
        <v>18429</v>
      </c>
      <c r="P65" s="4">
        <v>15547</v>
      </c>
      <c r="Q65" s="3">
        <v>15967</v>
      </c>
      <c r="R65" s="3">
        <v>21526</v>
      </c>
      <c r="S65" s="3">
        <v>17343</v>
      </c>
      <c r="T65" s="3">
        <v>12833</v>
      </c>
      <c r="U65" s="3">
        <v>18534</v>
      </c>
      <c r="V65" s="3">
        <v>17208</v>
      </c>
      <c r="W65" s="3">
        <v>21247</v>
      </c>
      <c r="X65" s="3">
        <v>16683</v>
      </c>
      <c r="Y65" s="3">
        <v>17189</v>
      </c>
      <c r="Z65" s="18">
        <v>18496</v>
      </c>
      <c r="AB65" s="4"/>
      <c r="AD65" s="3">
        <v>21737</v>
      </c>
      <c r="AE65" s="3">
        <v>15588</v>
      </c>
      <c r="AF65" s="3">
        <v>18068</v>
      </c>
      <c r="AG65" s="3">
        <v>18549</v>
      </c>
      <c r="AH65" s="52">
        <v>13917</v>
      </c>
      <c r="AI65" s="3">
        <v>20875</v>
      </c>
      <c r="AJ65" s="3">
        <v>22085</v>
      </c>
      <c r="AK65" s="3">
        <v>18509</v>
      </c>
    </row>
    <row r="66" spans="1:38" ht="27" customHeight="1" x14ac:dyDescent="0.35">
      <c r="A66" s="53"/>
      <c r="B66" s="20" t="s">
        <v>25</v>
      </c>
      <c r="C66" s="54">
        <f xml:space="preserve"> 1846289.115</f>
        <v>1846289.115</v>
      </c>
      <c r="D66" s="22">
        <v>2595292</v>
      </c>
      <c r="E66" s="22">
        <v>2527976</v>
      </c>
      <c r="F66" s="22">
        <v>2489272</v>
      </c>
      <c r="G66" s="22">
        <v>2394229</v>
      </c>
      <c r="H66" s="22">
        <v>2401735</v>
      </c>
      <c r="I66" s="22">
        <v>2236648</v>
      </c>
      <c r="J66" s="22">
        <v>2270635</v>
      </c>
      <c r="K66" s="55">
        <v>2339457</v>
      </c>
      <c r="L66" s="55">
        <v>2413846</v>
      </c>
      <c r="M66" s="55">
        <v>2434279</v>
      </c>
      <c r="N66" s="55">
        <v>2477338</v>
      </c>
      <c r="O66" s="3">
        <f>3107487+18387</f>
        <v>3125874</v>
      </c>
      <c r="P66" s="4">
        <f>3138031+18035</f>
        <v>3156066</v>
      </c>
      <c r="Q66" s="3">
        <f>3153646+15202</f>
        <v>3168848</v>
      </c>
      <c r="R66" s="3">
        <f>3030754+14545</f>
        <v>3045299</v>
      </c>
      <c r="S66" s="3">
        <f>2988354+17909</f>
        <v>3006263</v>
      </c>
      <c r="T66" s="3">
        <f>3007346+17851</f>
        <v>3025197</v>
      </c>
      <c r="U66" s="3">
        <f>2935901+16162</f>
        <v>2952063</v>
      </c>
      <c r="V66" s="3">
        <f>2931929+15866</f>
        <v>2947795</v>
      </c>
      <c r="W66" s="3">
        <f>3061565+17158</f>
        <v>3078723</v>
      </c>
      <c r="X66" s="3">
        <f>3025356+15768</f>
        <v>3041124</v>
      </c>
      <c r="Y66" s="3">
        <f>3104878+14622</f>
        <v>3119500</v>
      </c>
      <c r="Z66" s="18">
        <f>2950437+13939</f>
        <v>2964376</v>
      </c>
      <c r="AD66" s="3">
        <f>3166067+24803</f>
        <v>3190870</v>
      </c>
      <c r="AE66" s="3">
        <f>2990987+32120</f>
        <v>3023107</v>
      </c>
      <c r="AF66" s="3">
        <f>2876039+27458</f>
        <v>2903497</v>
      </c>
      <c r="AG66" s="3">
        <f>2714805+16352</f>
        <v>2731157</v>
      </c>
      <c r="AH66" s="52">
        <f>2735909+16456</f>
        <v>2752365</v>
      </c>
      <c r="AI66" s="3">
        <f>3063723+16089</f>
        <v>3079812</v>
      </c>
      <c r="AJ66" s="3">
        <f>2832332+20698</f>
        <v>2853030</v>
      </c>
      <c r="AK66" s="3">
        <f>2805432+13046</f>
        <v>2818478</v>
      </c>
    </row>
    <row r="67" spans="1:38" ht="27" customHeight="1" x14ac:dyDescent="0.35">
      <c r="A67" s="53"/>
      <c r="B67" s="60" t="s">
        <v>32</v>
      </c>
      <c r="C67" s="54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55">
        <v>639</v>
      </c>
      <c r="L67" s="55">
        <v>0</v>
      </c>
      <c r="M67" s="55">
        <v>0</v>
      </c>
      <c r="N67" s="55">
        <v>0</v>
      </c>
      <c r="P67" s="4"/>
      <c r="Z67" s="18"/>
      <c r="AE67" s="3">
        <v>505</v>
      </c>
      <c r="AF67" s="3">
        <v>135</v>
      </c>
      <c r="AG67" s="3">
        <v>411</v>
      </c>
      <c r="AH67" s="52">
        <v>0</v>
      </c>
      <c r="AI67" s="3">
        <v>854</v>
      </c>
      <c r="AJ67" s="3">
        <v>0</v>
      </c>
      <c r="AK67" s="3">
        <v>0</v>
      </c>
    </row>
    <row r="68" spans="1:38" ht="27" customHeight="1" x14ac:dyDescent="0.35">
      <c r="A68" s="53"/>
      <c r="B68" s="20" t="s">
        <v>24</v>
      </c>
      <c r="C68" s="54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55">
        <v>458</v>
      </c>
      <c r="L68" s="55">
        <v>0</v>
      </c>
      <c r="M68" s="55">
        <v>270</v>
      </c>
      <c r="N68" s="55">
        <v>0</v>
      </c>
      <c r="O68" s="3">
        <v>0</v>
      </c>
      <c r="P68" s="3">
        <v>0</v>
      </c>
      <c r="Q68" s="3">
        <v>322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372</v>
      </c>
      <c r="X68" s="3">
        <v>0</v>
      </c>
      <c r="Y68" s="3">
        <v>0</v>
      </c>
      <c r="Z68" s="18">
        <v>0</v>
      </c>
      <c r="AD68" s="3">
        <v>0</v>
      </c>
      <c r="AE68" s="3">
        <v>0</v>
      </c>
      <c r="AF68" s="3">
        <v>0</v>
      </c>
      <c r="AG68" s="3">
        <v>367</v>
      </c>
      <c r="AH68" s="52">
        <v>437</v>
      </c>
      <c r="AI68" s="3">
        <v>476</v>
      </c>
      <c r="AJ68" s="3">
        <v>0</v>
      </c>
      <c r="AK68" s="3">
        <v>212</v>
      </c>
    </row>
    <row r="69" spans="1:38" ht="27" customHeight="1" thickBot="1" x14ac:dyDescent="0.4">
      <c r="A69" s="53"/>
      <c r="B69" s="61" t="s">
        <v>21</v>
      </c>
      <c r="C69" s="54">
        <v>0</v>
      </c>
      <c r="D69" s="22">
        <v>0</v>
      </c>
      <c r="E69" s="22">
        <v>0</v>
      </c>
      <c r="F69" s="22">
        <v>0</v>
      </c>
      <c r="G69" s="22">
        <v>672</v>
      </c>
      <c r="H69" s="22">
        <v>0</v>
      </c>
      <c r="I69" s="22">
        <v>0</v>
      </c>
      <c r="J69" s="22">
        <v>0</v>
      </c>
      <c r="K69" s="55">
        <v>0</v>
      </c>
      <c r="L69" s="55">
        <v>0</v>
      </c>
      <c r="M69" s="55">
        <v>0</v>
      </c>
      <c r="N69" s="55">
        <v>0</v>
      </c>
      <c r="O69" s="3">
        <v>461</v>
      </c>
      <c r="P69" s="3">
        <v>1194</v>
      </c>
      <c r="Q69" s="3">
        <v>300</v>
      </c>
      <c r="R69" s="3">
        <v>367</v>
      </c>
      <c r="S69" s="3">
        <v>420</v>
      </c>
      <c r="T69" s="3">
        <v>0</v>
      </c>
      <c r="U69" s="3">
        <v>0</v>
      </c>
      <c r="V69" s="3">
        <v>431</v>
      </c>
      <c r="W69" s="3">
        <v>0</v>
      </c>
      <c r="X69" s="3">
        <v>0</v>
      </c>
      <c r="Y69" s="3">
        <v>140</v>
      </c>
      <c r="Z69" s="18">
        <v>0</v>
      </c>
      <c r="AD69" s="3">
        <v>492</v>
      </c>
      <c r="AE69" s="3">
        <v>0</v>
      </c>
      <c r="AF69" s="3">
        <v>0</v>
      </c>
      <c r="AG69" s="3">
        <v>0</v>
      </c>
      <c r="AH69" s="52">
        <v>0</v>
      </c>
      <c r="AI69" s="3">
        <v>278</v>
      </c>
      <c r="AJ69" s="3">
        <v>0</v>
      </c>
      <c r="AK69" s="3">
        <v>0</v>
      </c>
    </row>
    <row r="70" spans="1:38" ht="27" customHeight="1" thickBot="1" x14ac:dyDescent="0.4">
      <c r="A70" s="62"/>
      <c r="B70" s="63" t="s">
        <v>35</v>
      </c>
      <c r="C70" s="64">
        <f t="shared" ref="C70:Z70" si="4">SUM(C55:C69)</f>
        <v>1873064.115</v>
      </c>
      <c r="D70" s="65">
        <f t="shared" si="4"/>
        <v>2623306</v>
      </c>
      <c r="E70" s="65">
        <f t="shared" si="4"/>
        <v>2554719</v>
      </c>
      <c r="F70" s="29">
        <f t="shared" si="4"/>
        <v>2517488</v>
      </c>
      <c r="G70" s="65">
        <f t="shared" si="4"/>
        <v>3185201</v>
      </c>
      <c r="H70" s="65">
        <f t="shared" si="4"/>
        <v>3147326</v>
      </c>
      <c r="I70" s="65">
        <f t="shared" si="4"/>
        <v>2974720</v>
      </c>
      <c r="J70" s="29">
        <f t="shared" si="4"/>
        <v>3011393</v>
      </c>
      <c r="K70" s="29">
        <f t="shared" si="4"/>
        <v>3091473</v>
      </c>
      <c r="L70" s="29">
        <f t="shared" si="4"/>
        <v>2466073</v>
      </c>
      <c r="M70" s="29">
        <f t="shared" si="4"/>
        <v>3169269</v>
      </c>
      <c r="N70" s="29">
        <f t="shared" si="4"/>
        <v>3248167</v>
      </c>
      <c r="O70" s="3">
        <f t="shared" si="4"/>
        <v>3717457</v>
      </c>
      <c r="P70" s="3">
        <f t="shared" si="4"/>
        <v>3564944</v>
      </c>
      <c r="Q70" s="3">
        <f t="shared" si="4"/>
        <v>3603308</v>
      </c>
      <c r="R70" s="4">
        <f t="shared" si="4"/>
        <v>3609948</v>
      </c>
      <c r="S70" s="4">
        <f t="shared" si="4"/>
        <v>3649890</v>
      </c>
      <c r="T70" s="4">
        <f t="shared" si="4"/>
        <v>3754909</v>
      </c>
      <c r="U70" s="4">
        <f t="shared" si="4"/>
        <v>3586190</v>
      </c>
      <c r="V70" s="4">
        <f t="shared" si="4"/>
        <v>3587785</v>
      </c>
      <c r="W70" s="4">
        <f t="shared" si="4"/>
        <v>3623631</v>
      </c>
      <c r="X70" s="4">
        <f t="shared" si="4"/>
        <v>3526467</v>
      </c>
      <c r="Y70" s="4">
        <f t="shared" si="4"/>
        <v>3620077</v>
      </c>
      <c r="Z70" s="18">
        <f t="shared" si="4"/>
        <v>3561721</v>
      </c>
      <c r="AA70" s="3">
        <f>3547782+13939</f>
        <v>3561721</v>
      </c>
      <c r="AD70" s="3">
        <f t="shared" ref="AD70:AJ70" si="5">SUM(AD55:AD69)</f>
        <v>3815159</v>
      </c>
      <c r="AE70" s="3">
        <f t="shared" si="5"/>
        <v>3671912</v>
      </c>
      <c r="AF70" s="3">
        <f t="shared" si="5"/>
        <v>3588409</v>
      </c>
      <c r="AG70" s="4">
        <f t="shared" si="5"/>
        <v>3388898</v>
      </c>
      <c r="AH70" s="52">
        <f t="shared" si="5"/>
        <v>3368823</v>
      </c>
      <c r="AI70" s="4">
        <f t="shared" si="5"/>
        <v>3744061</v>
      </c>
      <c r="AJ70" s="3">
        <f t="shared" si="5"/>
        <v>3449861</v>
      </c>
      <c r="AL70" s="3">
        <f>3429163+20698</f>
        <v>3449861</v>
      </c>
    </row>
    <row r="71" spans="1:38" ht="27.75" customHeight="1" x14ac:dyDescent="0.65">
      <c r="A71" s="66" t="s">
        <v>43</v>
      </c>
      <c r="B71" s="66"/>
      <c r="C71" s="66"/>
      <c r="D71" s="66"/>
      <c r="E71" s="66"/>
      <c r="F71" s="66"/>
      <c r="G71" s="66"/>
      <c r="H71" s="67"/>
      <c r="I71" s="67" t="s">
        <v>44</v>
      </c>
      <c r="J71" s="67"/>
      <c r="K71" s="67"/>
      <c r="L71" s="67"/>
      <c r="M71" s="67"/>
      <c r="N71" s="67"/>
      <c r="Q71" s="4"/>
      <c r="R71" s="4"/>
      <c r="S71" s="4"/>
      <c r="T71" s="4"/>
      <c r="U71" s="4"/>
      <c r="V71" s="4"/>
      <c r="AA71" s="3">
        <f>+AA70/29</f>
        <v>122817.96551724138</v>
      </c>
      <c r="AG71" s="3">
        <f>+AG70/31</f>
        <v>109319.29032258065</v>
      </c>
      <c r="AL71" s="3">
        <f>+AL70-AJ70</f>
        <v>0</v>
      </c>
    </row>
    <row r="72" spans="1:38" ht="31.5" customHeight="1" x14ac:dyDescent="0.3">
      <c r="G72" s="69"/>
      <c r="H72" s="69"/>
      <c r="K72" s="4"/>
      <c r="L72" s="4"/>
      <c r="W72" s="4"/>
      <c r="AL72" s="3">
        <f>+AL70/30</f>
        <v>114995.36666666667</v>
      </c>
    </row>
    <row r="74" spans="1:38" ht="61.5" customHeight="1" thickBot="1" x14ac:dyDescent="0.4">
      <c r="A74" s="70" t="s">
        <v>0</v>
      </c>
      <c r="B74" s="70"/>
      <c r="C74" s="70"/>
      <c r="D74" s="70"/>
      <c r="E74" s="70"/>
      <c r="F74" s="70"/>
      <c r="G74" s="71"/>
      <c r="H74" s="71"/>
      <c r="I74" s="71"/>
      <c r="J74" s="71"/>
      <c r="K74" s="71"/>
      <c r="L74" s="71"/>
      <c r="M74" s="71"/>
      <c r="N74" s="71"/>
      <c r="AL74" s="3">
        <f>14522+3474519</f>
        <v>3489041</v>
      </c>
    </row>
    <row r="75" spans="1:38" ht="31.5" customHeight="1" thickBot="1" x14ac:dyDescent="0.3">
      <c r="A75" s="72" t="s">
        <v>1</v>
      </c>
      <c r="B75" s="73"/>
      <c r="C75" s="74" t="s">
        <v>45</v>
      </c>
      <c r="D75" s="74"/>
      <c r="E75" s="74"/>
      <c r="F75" s="74"/>
      <c r="G75" s="75"/>
      <c r="H75" s="75"/>
      <c r="I75" s="75"/>
      <c r="J75" s="75"/>
      <c r="K75" s="75"/>
      <c r="L75" s="75"/>
      <c r="M75" s="75"/>
      <c r="N75" s="75"/>
      <c r="AL75" s="3">
        <f>+AL74/30</f>
        <v>116301.36666666667</v>
      </c>
    </row>
    <row r="76" spans="1:38" ht="31.5" customHeight="1" thickBot="1" x14ac:dyDescent="0.3">
      <c r="A76" s="76"/>
      <c r="B76" s="77"/>
      <c r="C76" s="78" t="s">
        <v>46</v>
      </c>
      <c r="D76" s="79" t="s">
        <v>47</v>
      </c>
      <c r="E76" s="79" t="s">
        <v>48</v>
      </c>
      <c r="F76" s="80" t="s">
        <v>49</v>
      </c>
    </row>
    <row r="77" spans="1:38" ht="21.6" customHeight="1" x14ac:dyDescent="0.25">
      <c r="A77" s="81" t="s">
        <v>15</v>
      </c>
      <c r="B77" s="82" t="s">
        <v>16</v>
      </c>
      <c r="C77" s="83">
        <f t="shared" ref="C77:C84" si="6">(C4+D4+E4)/3</f>
        <v>52409.750999999997</v>
      </c>
      <c r="D77" s="84">
        <f t="shared" ref="D77:D84" si="7">(F4+G4+H4)/3</f>
        <v>62000</v>
      </c>
      <c r="E77" s="85">
        <f t="shared" ref="E77:E84" si="8">(I4+J4+K4)/3</f>
        <v>52349.666666666664</v>
      </c>
      <c r="F77" s="86">
        <f t="shared" ref="F77:F84" si="9">(L4+M4+N4)/3</f>
        <v>51120</v>
      </c>
    </row>
    <row r="78" spans="1:38" ht="21.6" customHeight="1" x14ac:dyDescent="0.25">
      <c r="A78" s="87"/>
      <c r="B78" s="88" t="s">
        <v>17</v>
      </c>
      <c r="C78" s="83">
        <f t="shared" si="6"/>
        <v>419423.7432666666</v>
      </c>
      <c r="D78" s="84">
        <f t="shared" si="7"/>
        <v>480480</v>
      </c>
      <c r="E78" s="85">
        <f t="shared" si="8"/>
        <v>453561.66666666669</v>
      </c>
      <c r="F78" s="89">
        <f t="shared" si="9"/>
        <v>477540.33333333331</v>
      </c>
    </row>
    <row r="79" spans="1:38" ht="21.6" customHeight="1" x14ac:dyDescent="0.25">
      <c r="A79" s="87"/>
      <c r="B79" s="90" t="s">
        <v>18</v>
      </c>
      <c r="C79" s="83">
        <f t="shared" si="6"/>
        <v>4996.666666666667</v>
      </c>
      <c r="D79" s="84">
        <f t="shared" si="7"/>
        <v>0</v>
      </c>
      <c r="E79" s="85">
        <f t="shared" si="8"/>
        <v>4171</v>
      </c>
      <c r="F79" s="89">
        <f t="shared" si="9"/>
        <v>7229.333333333333</v>
      </c>
    </row>
    <row r="80" spans="1:38" ht="21.6" customHeight="1" x14ac:dyDescent="0.25">
      <c r="A80" s="87"/>
      <c r="B80" s="90" t="s">
        <v>19</v>
      </c>
      <c r="C80" s="83">
        <f t="shared" si="6"/>
        <v>136400</v>
      </c>
      <c r="D80" s="84">
        <f t="shared" si="7"/>
        <v>140381.33333333334</v>
      </c>
      <c r="E80" s="85">
        <f t="shared" si="8"/>
        <v>150968</v>
      </c>
      <c r="F80" s="89">
        <f t="shared" si="9"/>
        <v>159849.66666666666</v>
      </c>
    </row>
    <row r="81" spans="1:6" ht="21.6" customHeight="1" x14ac:dyDescent="0.25">
      <c r="A81" s="87"/>
      <c r="B81" s="88" t="s">
        <v>20</v>
      </c>
      <c r="C81" s="83">
        <f t="shared" si="6"/>
        <v>13444.206666666667</v>
      </c>
      <c r="D81" s="84">
        <f t="shared" si="7"/>
        <v>14880</v>
      </c>
      <c r="E81" s="85">
        <f t="shared" si="8"/>
        <v>14400</v>
      </c>
      <c r="F81" s="89">
        <f t="shared" si="9"/>
        <v>14320</v>
      </c>
    </row>
    <row r="82" spans="1:6" ht="21.6" customHeight="1" x14ac:dyDescent="0.25">
      <c r="A82" s="87"/>
      <c r="B82" s="88" t="s">
        <v>21</v>
      </c>
      <c r="C82" s="83">
        <f t="shared" si="6"/>
        <v>66951</v>
      </c>
      <c r="D82" s="84">
        <f t="shared" si="7"/>
        <v>68721.666666666672</v>
      </c>
      <c r="E82" s="85">
        <f t="shared" si="8"/>
        <v>77040.333333333328</v>
      </c>
      <c r="F82" s="89">
        <f t="shared" si="9"/>
        <v>75232</v>
      </c>
    </row>
    <row r="83" spans="1:6" ht="21.6" customHeight="1" x14ac:dyDescent="0.25">
      <c r="A83" s="87"/>
      <c r="B83" s="88" t="s">
        <v>22</v>
      </c>
      <c r="C83" s="83">
        <f t="shared" si="6"/>
        <v>42863.666666666664</v>
      </c>
      <c r="D83" s="84">
        <f t="shared" si="7"/>
        <v>36080</v>
      </c>
      <c r="E83" s="85">
        <f t="shared" si="8"/>
        <v>28494.333333333332</v>
      </c>
      <c r="F83" s="89">
        <f t="shared" si="9"/>
        <v>32400</v>
      </c>
    </row>
    <row r="84" spans="1:6" ht="21.6" customHeight="1" x14ac:dyDescent="0.25">
      <c r="A84" s="87"/>
      <c r="B84" s="88" t="s">
        <v>23</v>
      </c>
      <c r="C84" s="83">
        <f t="shared" si="6"/>
        <v>0</v>
      </c>
      <c r="D84" s="84">
        <f t="shared" si="7"/>
        <v>8000</v>
      </c>
      <c r="E84" s="85">
        <f t="shared" si="8"/>
        <v>18240</v>
      </c>
      <c r="F84" s="89">
        <f t="shared" si="9"/>
        <v>21569.333333333332</v>
      </c>
    </row>
    <row r="85" spans="1:6" ht="21.6" customHeight="1" x14ac:dyDescent="0.25">
      <c r="A85" s="87"/>
      <c r="B85" s="91" t="s">
        <v>24</v>
      </c>
      <c r="C85" s="83" t="e">
        <f>(#REF!+#REF!+#REF!)/3</f>
        <v>#REF!</v>
      </c>
      <c r="D85" s="84" t="e">
        <f>(#REF!+#REF!+#REF!)/3</f>
        <v>#REF!</v>
      </c>
      <c r="E85" s="85" t="e">
        <f>(#REF!+#REF!+#REF!)/3</f>
        <v>#REF!</v>
      </c>
      <c r="F85" s="89" t="e">
        <f>(#REF!+#REF!+#REF!)/3</f>
        <v>#REF!</v>
      </c>
    </row>
    <row r="86" spans="1:6" ht="21.6" customHeight="1" x14ac:dyDescent="0.25">
      <c r="A86" s="87"/>
      <c r="B86" s="88" t="s">
        <v>27</v>
      </c>
      <c r="C86" s="83" t="e">
        <f>(#REF!+#REF!+#REF!)/3</f>
        <v>#REF!</v>
      </c>
      <c r="D86" s="84" t="e">
        <f>(#REF!+#REF!+#REF!)/3</f>
        <v>#REF!</v>
      </c>
      <c r="E86" s="85" t="e">
        <f>(#REF!+#REF!+#REF!)/3</f>
        <v>#REF!</v>
      </c>
      <c r="F86" s="89" t="e">
        <f>(#REF!+#REF!+#REF!)/3</f>
        <v>#REF!</v>
      </c>
    </row>
    <row r="87" spans="1:6" ht="21.6" customHeight="1" thickBot="1" x14ac:dyDescent="0.3">
      <c r="A87" s="87"/>
      <c r="B87" s="88" t="s">
        <v>26</v>
      </c>
      <c r="C87" s="83">
        <f>(C14+D14+E14)/3</f>
        <v>126800</v>
      </c>
      <c r="D87" s="84">
        <f>(F14+G14+H14)/3</f>
        <v>118640</v>
      </c>
      <c r="E87" s="85">
        <f>(I14+J14+K14)/3</f>
        <v>112990.33333333333</v>
      </c>
      <c r="F87" s="92">
        <f>(L14+M14+N14)/3</f>
        <v>115520</v>
      </c>
    </row>
    <row r="88" spans="1:6" ht="21.6" customHeight="1" thickBot="1" x14ac:dyDescent="0.3">
      <c r="A88" s="93"/>
      <c r="B88" s="94" t="s">
        <v>35</v>
      </c>
      <c r="C88" s="95" t="e">
        <f>SUM(C77:C87)</f>
        <v>#REF!</v>
      </c>
      <c r="D88" s="95" t="e">
        <f>SUM(D77:D87)</f>
        <v>#REF!</v>
      </c>
      <c r="E88" s="95" t="e">
        <f>SUM(E77:E87)</f>
        <v>#REF!</v>
      </c>
      <c r="F88" s="95" t="e">
        <f>SUM(F77:F87)</f>
        <v>#REF!</v>
      </c>
    </row>
    <row r="89" spans="1:6" ht="21.6" customHeight="1" x14ac:dyDescent="0.25">
      <c r="A89" s="96" t="s">
        <v>36</v>
      </c>
      <c r="B89" s="82" t="s">
        <v>16</v>
      </c>
      <c r="C89" s="83">
        <f>(C28+D28+E28)/3</f>
        <v>0</v>
      </c>
      <c r="D89" s="84">
        <f>(F28+G28+H28)/3</f>
        <v>0</v>
      </c>
      <c r="E89" s="85">
        <f>(I28+J28+K28)/3</f>
        <v>0</v>
      </c>
      <c r="F89" s="92">
        <f>(L28+M28+N28)/3</f>
        <v>0</v>
      </c>
    </row>
    <row r="90" spans="1:6" ht="21.6" customHeight="1" x14ac:dyDescent="0.25">
      <c r="A90" s="97"/>
      <c r="B90" s="90" t="s">
        <v>17</v>
      </c>
      <c r="C90" s="83">
        <f>(C30+D30+E30)/3</f>
        <v>48681.283333333333</v>
      </c>
      <c r="D90" s="84">
        <f>(F30+G30+H30)/3</f>
        <v>49442.333333333336</v>
      </c>
      <c r="E90" s="85">
        <f>(I30+J30+K30)/3</f>
        <v>47037.666666666664</v>
      </c>
      <c r="F90" s="92">
        <f>(O30+M30+N30)/3</f>
        <v>39871</v>
      </c>
    </row>
    <row r="91" spans="1:6" ht="21.6" customHeight="1" x14ac:dyDescent="0.25">
      <c r="A91" s="97"/>
      <c r="B91" s="90" t="s">
        <v>18</v>
      </c>
      <c r="C91" s="83">
        <f>(C31+D31+E31)/3</f>
        <v>4240.1033333333335</v>
      </c>
      <c r="D91" s="84">
        <f>(F31+G31+H31)/3</f>
        <v>0</v>
      </c>
      <c r="E91" s="85">
        <f>(I31+J31+K31)/3</f>
        <v>0</v>
      </c>
      <c r="F91" s="92">
        <f>(L31+M31+N31)/3</f>
        <v>0</v>
      </c>
    </row>
    <row r="92" spans="1:6" ht="21.6" customHeight="1" x14ac:dyDescent="0.25">
      <c r="A92" s="97"/>
      <c r="B92" s="88" t="s">
        <v>26</v>
      </c>
      <c r="C92" s="83" t="e">
        <f>(#REF!+#REF!+#REF!)/3</f>
        <v>#REF!</v>
      </c>
      <c r="D92" s="84" t="e">
        <f>(#REF!+#REF!+#REF!)/3</f>
        <v>#REF!</v>
      </c>
      <c r="E92" s="85" t="e">
        <f>(#REF!+#REF!+#REF!)/3</f>
        <v>#REF!</v>
      </c>
      <c r="F92" s="92" t="e">
        <f>(#REF!+#REF!+#REF!)/3</f>
        <v>#REF!</v>
      </c>
    </row>
    <row r="93" spans="1:6" ht="21.6" customHeight="1" x14ac:dyDescent="0.25">
      <c r="A93" s="97"/>
      <c r="B93" s="88" t="s">
        <v>19</v>
      </c>
      <c r="C93" s="83">
        <f>(C32+D32+E32)/3</f>
        <v>34706.666666666664</v>
      </c>
      <c r="D93" s="84">
        <f>(F32+G32+H32)/3</f>
        <v>31436.666666666668</v>
      </c>
      <c r="E93" s="85">
        <f>(I32+J32+K32)/3</f>
        <v>17776.666666666668</v>
      </c>
      <c r="F93" s="92">
        <f>(L32+M32+N32)/3</f>
        <v>26192</v>
      </c>
    </row>
    <row r="94" spans="1:6" ht="21.6" customHeight="1" x14ac:dyDescent="0.25">
      <c r="A94" s="97"/>
      <c r="B94" s="88" t="s">
        <v>22</v>
      </c>
      <c r="C94" s="83">
        <f>(C33+D33+E33)/3</f>
        <v>1013080</v>
      </c>
      <c r="D94" s="84">
        <f>(F33+G33+H33)/3</f>
        <v>952850.66666666663</v>
      </c>
      <c r="E94" s="85">
        <f>(I33+J33+K33)/3</f>
        <v>749087.33333333337</v>
      </c>
      <c r="F94" s="92">
        <f>(L33+M33+N33)/3</f>
        <v>800308.33333333337</v>
      </c>
    </row>
    <row r="95" spans="1:6" ht="21.6" customHeight="1" x14ac:dyDescent="0.25">
      <c r="A95" s="97"/>
      <c r="B95" s="88" t="s">
        <v>23</v>
      </c>
      <c r="C95" s="83">
        <f>(C34+D34+E34)/3</f>
        <v>801040</v>
      </c>
      <c r="D95" s="84">
        <f>(F34+G34+H34)/3</f>
        <v>589389.33333333337</v>
      </c>
      <c r="E95" s="85">
        <f>(I34+J34+K34)/3</f>
        <v>570458.66666666663</v>
      </c>
      <c r="F95" s="92">
        <f>(L34+M34+N34)/3</f>
        <v>610683.33333333337</v>
      </c>
    </row>
    <row r="96" spans="1:6" ht="21.6" customHeight="1" x14ac:dyDescent="0.25">
      <c r="A96" s="97"/>
      <c r="B96" s="88" t="s">
        <v>27</v>
      </c>
      <c r="C96" s="83">
        <f>(C36+D36+E36)/3</f>
        <v>10414.106666666667</v>
      </c>
      <c r="D96" s="84">
        <f>(F36+G36+H36)/3</f>
        <v>0</v>
      </c>
      <c r="E96" s="85">
        <f>(I36+J36+K36)/3</f>
        <v>116</v>
      </c>
      <c r="F96" s="92">
        <f>(L36+M36+N36)/3</f>
        <v>1708</v>
      </c>
    </row>
    <row r="97" spans="1:6" ht="21.6" customHeight="1" x14ac:dyDescent="0.25">
      <c r="A97" s="97"/>
      <c r="B97" s="88" t="s">
        <v>21</v>
      </c>
      <c r="C97" s="83">
        <f>(C37+D37+E37)/3</f>
        <v>348433.37590000004</v>
      </c>
      <c r="D97" s="84">
        <f>(F37+G37+H37)/3</f>
        <v>312879.66666666669</v>
      </c>
      <c r="E97" s="85">
        <f>(I37+J37+K37)/3</f>
        <v>261654.33333333334</v>
      </c>
      <c r="F97" s="92">
        <f>(L37+M37+N37)/3</f>
        <v>278644.66666666669</v>
      </c>
    </row>
    <row r="98" spans="1:6" ht="21.6" customHeight="1" x14ac:dyDescent="0.25">
      <c r="A98" s="97"/>
      <c r="B98" s="91" t="s">
        <v>24</v>
      </c>
      <c r="C98" s="83">
        <f>(C38+D38+E38)/3</f>
        <v>144447.38326666667</v>
      </c>
      <c r="D98" s="84">
        <f>(F38+G38+H38)/3</f>
        <v>156481.66666666666</v>
      </c>
      <c r="E98" s="85">
        <f>(I38+J38+K38)/3</f>
        <v>212773</v>
      </c>
      <c r="F98" s="92">
        <f>(L38+M38+N38)/3</f>
        <v>206010</v>
      </c>
    </row>
    <row r="99" spans="1:6" ht="21.6" customHeight="1" x14ac:dyDescent="0.25">
      <c r="A99" s="97"/>
      <c r="B99" s="91" t="s">
        <v>25</v>
      </c>
      <c r="C99" s="83">
        <f>(C39+D39+E39)/3</f>
        <v>0</v>
      </c>
      <c r="D99" s="84">
        <f>(F39+G39+H39)/3</f>
        <v>0</v>
      </c>
      <c r="E99" s="85">
        <f>(I39+J39+K39)/3</f>
        <v>776.33333333333337</v>
      </c>
      <c r="F99" s="92">
        <f>(L39+M39+N39)/3</f>
        <v>0</v>
      </c>
    </row>
    <row r="100" spans="1:6" ht="21.6" customHeight="1" x14ac:dyDescent="0.25">
      <c r="A100" s="97"/>
      <c r="B100" s="88" t="s">
        <v>50</v>
      </c>
      <c r="C100" s="83">
        <f>(C41+D41+E41)/3</f>
        <v>130337.06666666667</v>
      </c>
      <c r="D100" s="84">
        <f>(F41+G41+H41)/3</f>
        <v>167059</v>
      </c>
      <c r="E100" s="85">
        <f>(I41+J41+K41)/3</f>
        <v>146194</v>
      </c>
      <c r="F100" s="92">
        <f>(L41+M41+N41)/3</f>
        <v>150392.33333333334</v>
      </c>
    </row>
    <row r="101" spans="1:6" ht="21.6" customHeight="1" thickBot="1" x14ac:dyDescent="0.3">
      <c r="A101" s="97"/>
      <c r="B101" s="98" t="s">
        <v>51</v>
      </c>
      <c r="C101" s="83" t="e">
        <f>(#REF!+#REF!+#REF!)/3</f>
        <v>#REF!</v>
      </c>
      <c r="D101" s="84" t="e">
        <f>(#REF!+#REF!+#REF!)/3</f>
        <v>#REF!</v>
      </c>
      <c r="E101" s="85" t="e">
        <f>(#REF!+#REF!+#REF!)/3</f>
        <v>#REF!</v>
      </c>
      <c r="F101" s="92" t="e">
        <f>(#REF!+#REF!+#REF!)/3</f>
        <v>#REF!</v>
      </c>
    </row>
    <row r="102" spans="1:6" ht="21.6" customHeight="1" thickBot="1" x14ac:dyDescent="0.3">
      <c r="A102" s="99"/>
      <c r="B102" s="100" t="s">
        <v>35</v>
      </c>
      <c r="C102" s="101" t="e">
        <f>SUM(C89:C101)</f>
        <v>#REF!</v>
      </c>
      <c r="D102" s="102" t="e">
        <f>SUM(D89:D101)</f>
        <v>#REF!</v>
      </c>
      <c r="E102" s="102" t="e">
        <f>SUM(E89:E101)</f>
        <v>#REF!</v>
      </c>
      <c r="F102" s="103" t="e">
        <f>SUM(F89:F101)</f>
        <v>#REF!</v>
      </c>
    </row>
    <row r="103" spans="1:6" ht="21.6" customHeight="1" x14ac:dyDescent="0.25">
      <c r="A103" s="104" t="s">
        <v>42</v>
      </c>
      <c r="B103" s="82" t="s">
        <v>17</v>
      </c>
      <c r="C103" s="83">
        <f>(C55+D55+E55)/3</f>
        <v>0</v>
      </c>
      <c r="D103" s="84">
        <f>(F55+G55+H55)/3</f>
        <v>80</v>
      </c>
      <c r="E103" s="85">
        <f>(I55+J55+K55)/3</f>
        <v>250.33333333333334</v>
      </c>
      <c r="F103" s="92">
        <f>(L55+M55+N55)/3</f>
        <v>0</v>
      </c>
    </row>
    <row r="104" spans="1:6" ht="21.6" customHeight="1" x14ac:dyDescent="0.25">
      <c r="A104" s="105"/>
      <c r="B104" s="90" t="s">
        <v>18</v>
      </c>
      <c r="C104" s="83" t="e">
        <f>(#REF!+#REF!+#REF!)/3</f>
        <v>#REF!</v>
      </c>
      <c r="D104" s="84" t="e">
        <f>(#REF!+#REF!+#REF!)/3</f>
        <v>#REF!</v>
      </c>
      <c r="E104" s="85" t="e">
        <f>(#REF!+#REF!+#REF!)/3</f>
        <v>#REF!</v>
      </c>
      <c r="F104" s="92" t="e">
        <f>(#REF!+#REF!+#REF!)/3</f>
        <v>#REF!</v>
      </c>
    </row>
    <row r="105" spans="1:6" ht="21.6" customHeight="1" x14ac:dyDescent="0.25">
      <c r="A105" s="105"/>
      <c r="B105" s="88" t="s">
        <v>19</v>
      </c>
      <c r="C105" s="83" t="e">
        <f>(#REF!+#REF!+#REF!)/3</f>
        <v>#REF!</v>
      </c>
      <c r="D105" s="84" t="e">
        <f>(#REF!+#REF!+#REF!)/3</f>
        <v>#REF!</v>
      </c>
      <c r="E105" s="85" t="e">
        <f>(#REF!+#REF!+#REF!)/3</f>
        <v>#REF!</v>
      </c>
      <c r="F105" s="92" t="e">
        <f>(#REF!+#REF!+#REF!)/3</f>
        <v>#REF!</v>
      </c>
    </row>
    <row r="106" spans="1:6" ht="21.6" customHeight="1" x14ac:dyDescent="0.25">
      <c r="A106" s="105"/>
      <c r="B106" s="88" t="s">
        <v>22</v>
      </c>
      <c r="C106" s="83">
        <f>(C58+D58+E58)/3</f>
        <v>26647.666666666668</v>
      </c>
      <c r="D106" s="84">
        <f>(F58+G58+H58)/3</f>
        <v>485919.33333333331</v>
      </c>
      <c r="E106" s="85">
        <f>(I58+J58+K58)/3</f>
        <v>704070.66666666663</v>
      </c>
      <c r="F106" s="92">
        <f>(L58+M58+N58)/3</f>
        <v>481211</v>
      </c>
    </row>
    <row r="107" spans="1:6" ht="21.6" customHeight="1" x14ac:dyDescent="0.25">
      <c r="A107" s="105"/>
      <c r="B107" s="88" t="s">
        <v>23</v>
      </c>
      <c r="C107" s="83">
        <f>(C59+D59+E59)/3</f>
        <v>0</v>
      </c>
      <c r="D107" s="84">
        <f>(F59+G59+H59)/3</f>
        <v>9356.3333333333339</v>
      </c>
      <c r="E107" s="85">
        <f>(I59+J59+K59)/3</f>
        <v>14659</v>
      </c>
      <c r="F107" s="92">
        <f>(L59+M59+N59)/3</f>
        <v>15966.666666666666</v>
      </c>
    </row>
    <row r="108" spans="1:6" ht="21.6" customHeight="1" x14ac:dyDescent="0.25">
      <c r="A108" s="105"/>
      <c r="B108" s="88" t="s">
        <v>27</v>
      </c>
      <c r="C108" s="83">
        <f>(C65+D65+E65)/3</f>
        <v>0</v>
      </c>
      <c r="D108" s="84">
        <f>(F65+G65+H65)/3</f>
        <v>12753.666666666666</v>
      </c>
      <c r="E108" s="85">
        <f>(I65+J65+K65)/3</f>
        <v>22710.666666666668</v>
      </c>
      <c r="F108" s="92">
        <f>(L65+M65+N65)/3</f>
        <v>20687.333333333332</v>
      </c>
    </row>
    <row r="109" spans="1:6" ht="21.6" customHeight="1" x14ac:dyDescent="0.25">
      <c r="A109" s="105"/>
      <c r="B109" s="88" t="s">
        <v>21</v>
      </c>
      <c r="C109" s="83" t="e">
        <f>(#REF!+#REF!+#REF!)/3</f>
        <v>#REF!</v>
      </c>
      <c r="D109" s="84" t="e">
        <f>(#REF!+#REF!+#REF!)/3</f>
        <v>#REF!</v>
      </c>
      <c r="E109" s="85" t="e">
        <f>(#REF!+#REF!+#REF!)/3</f>
        <v>#REF!</v>
      </c>
      <c r="F109" s="92" t="e">
        <f>(#REF!+#REF!+#REF!)/3</f>
        <v>#REF!</v>
      </c>
    </row>
    <row r="110" spans="1:6" ht="21.6" customHeight="1" x14ac:dyDescent="0.25">
      <c r="A110" s="105"/>
      <c r="B110" s="88" t="s">
        <v>25</v>
      </c>
      <c r="C110" s="83">
        <f>(C66+D66+E66)/3</f>
        <v>2323185.7050000001</v>
      </c>
      <c r="D110" s="84">
        <f>(F66+G66+H66)/3</f>
        <v>2428412</v>
      </c>
      <c r="E110" s="85">
        <f>(I66+J66+K66)/3</f>
        <v>2282246.6666666665</v>
      </c>
      <c r="F110" s="92">
        <f>(L66+M66+N66)/3</f>
        <v>2441821</v>
      </c>
    </row>
    <row r="111" spans="1:6" ht="21.6" customHeight="1" x14ac:dyDescent="0.25">
      <c r="A111" s="105"/>
      <c r="B111" s="88" t="s">
        <v>52</v>
      </c>
      <c r="C111" s="83" t="e">
        <f>(#REF!+#REF!+#REF!)/3</f>
        <v>#REF!</v>
      </c>
      <c r="D111" s="84" t="e">
        <f>(#REF!+#REF!+#REF!)/3</f>
        <v>#REF!</v>
      </c>
      <c r="E111" s="85" t="e">
        <f>(#REF!+#REF!+#REF!)/3</f>
        <v>#REF!</v>
      </c>
      <c r="F111" s="92" t="e">
        <f>(#REF!+#REF!+#REF!)/3</f>
        <v>#REF!</v>
      </c>
    </row>
    <row r="112" spans="1:6" ht="21.6" customHeight="1" thickBot="1" x14ac:dyDescent="0.3">
      <c r="A112" s="105"/>
      <c r="B112" s="106" t="s">
        <v>24</v>
      </c>
      <c r="C112" s="83">
        <f>(C68+D68+E68)/3</f>
        <v>0</v>
      </c>
      <c r="D112" s="84">
        <f>(F68+G68+H68)/3</f>
        <v>0</v>
      </c>
      <c r="E112" s="85">
        <f>(I68+J68+K68)/3</f>
        <v>152.66666666666666</v>
      </c>
      <c r="F112" s="92">
        <f>(L68+M68+N68)/3</f>
        <v>90</v>
      </c>
    </row>
    <row r="113" spans="1:7" ht="21.6" customHeight="1" thickBot="1" x14ac:dyDescent="0.3">
      <c r="A113" s="107"/>
      <c r="B113" s="108" t="s">
        <v>35</v>
      </c>
      <c r="C113" s="109" t="e">
        <f>SUM(C103:C112)</f>
        <v>#REF!</v>
      </c>
      <c r="D113" s="102" t="e">
        <f>SUM(D103:D112)</f>
        <v>#REF!</v>
      </c>
      <c r="E113" s="95" t="e">
        <f>SUM(E103:E112)</f>
        <v>#REF!</v>
      </c>
      <c r="F113" s="110" t="e">
        <f>SUM(F103:F112)</f>
        <v>#REF!</v>
      </c>
    </row>
    <row r="114" spans="1:7" ht="31.5" customHeight="1" x14ac:dyDescent="0.25">
      <c r="A114" s="111" t="s">
        <v>43</v>
      </c>
      <c r="B114" s="111"/>
      <c r="C114" s="111"/>
      <c r="D114" s="111"/>
      <c r="E114" s="111"/>
      <c r="F114" s="111"/>
      <c r="G114" s="112"/>
    </row>
    <row r="115" spans="1:7" ht="31.5" customHeight="1" x14ac:dyDescent="0.25">
      <c r="A115" s="113"/>
      <c r="B115" s="113"/>
      <c r="C115" s="113"/>
      <c r="D115" s="113"/>
      <c r="E115" s="113"/>
      <c r="F115" s="113"/>
    </row>
  </sheetData>
  <mergeCells count="16">
    <mergeCell ref="A89:A102"/>
    <mergeCell ref="A103:A113"/>
    <mergeCell ref="A114:F114"/>
    <mergeCell ref="A115:F115"/>
    <mergeCell ref="A71:G71"/>
    <mergeCell ref="G72:H72"/>
    <mergeCell ref="A74:F74"/>
    <mergeCell ref="A75:B76"/>
    <mergeCell ref="C75:F75"/>
    <mergeCell ref="A77:A88"/>
    <mergeCell ref="A1:N1"/>
    <mergeCell ref="A2:B3"/>
    <mergeCell ref="C2:N2"/>
    <mergeCell ref="A4:A27"/>
    <mergeCell ref="A28:A54"/>
    <mergeCell ref="A55:A70"/>
  </mergeCells>
  <printOptions horizontalCentered="1" verticalCentered="1"/>
  <pageMargins left="0.15748031496062992" right="0.15748031496062992" top="0.35433070866141736" bottom="0.19685039370078741" header="0.19685039370078741" footer="0.19685039370078741"/>
  <pageSetup paperSize="9" scale="43" orientation="portrait" r:id="rId1"/>
  <headerFooter>
    <oddHeader>&amp;R&amp;"B Jalal,Bold"&amp;22ماهنامه آماري 8 ماهه 1402  راه آهن جمهوري اسلامي ايران</oddHeader>
    <oddFooter>&amp;L&amp;"B Jalal,Regular"&amp;22 22&amp;R&amp;"B Jalal,Regular"&amp;22گروه آمار و اطلاعات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5975-AF48-46DD-969F-A2EBA0578FBC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مسافت پيموده شده لکوموتيو </vt:lpstr>
      <vt:lpstr>Sheet1</vt:lpstr>
      <vt:lpstr>'مسافت پيموده شده لکوموتيو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</dc:creator>
  <cp:lastModifiedBy>roghani_r</cp:lastModifiedBy>
  <dcterms:created xsi:type="dcterms:W3CDTF">2015-06-05T18:17:20Z</dcterms:created>
  <dcterms:modified xsi:type="dcterms:W3CDTF">2025-07-15T06:04:42Z</dcterms:modified>
</cp:coreProperties>
</file>